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521" windowWidth="12480" windowHeight="12330" activeTab="0"/>
  </bookViews>
  <sheets>
    <sheet name="2012-03-16" sheetId="1" r:id="rId1"/>
    <sheet name="DFB Data 2009-08-27" sheetId="2" r:id="rId2"/>
    <sheet name="2008-05-05" sheetId="3" r:id="rId3"/>
    <sheet name="DFB_Data" sheetId="4" r:id="rId4"/>
  </sheets>
  <externalReferences>
    <externalReference r:id="rId7"/>
  </externalReferences>
  <definedNames>
    <definedName name="_xlnm.Print_Area" localSheetId="1">'DFB Data 2009-08-27'!$A$1:$AB$28</definedName>
    <definedName name="_xlnm.Print_Area" localSheetId="3">'DFB_Data'!$A$1:$AB$28</definedName>
    <definedName name="_xlnm.Print_Titles" localSheetId="1">'DFB Data 2009-08-27'!$1:$1</definedName>
  </definedNames>
  <calcPr fullCalcOnLoad="1"/>
</workbook>
</file>

<file path=xl/sharedStrings.xml><?xml version="1.0" encoding="utf-8"?>
<sst xmlns="http://schemas.openxmlformats.org/spreadsheetml/2006/main" count="486" uniqueCount="248">
  <si>
    <t>RBSP EFW</t>
  </si>
  <si>
    <t>Monthly Report Formatted</t>
  </si>
  <si>
    <t>TELEMETRY VOLUME</t>
  </si>
  <si>
    <t>Duty Cycle</t>
  </si>
  <si>
    <t>DC</t>
  </si>
  <si>
    <t>+0.5 V/m</t>
  </si>
  <si>
    <t>200V</t>
  </si>
  <si>
    <t>6 mV</t>
  </si>
  <si>
    <t>0.5 Hz</t>
  </si>
  <si>
    <t>2 kHz</t>
  </si>
  <si>
    <t>100 dB</t>
  </si>
  <si>
    <t>10 nT</t>
  </si>
  <si>
    <t>6.5 kHz</t>
  </si>
  <si>
    <t>EFW Total</t>
  </si>
  <si>
    <t>Playback</t>
  </si>
  <si>
    <t>Real Time</t>
  </si>
  <si>
    <t>Category</t>
  </si>
  <si>
    <t>10 Hz</t>
  </si>
  <si>
    <t>Source</t>
  </si>
  <si>
    <t>Housekeeping</t>
  </si>
  <si>
    <t>PRH 1/23/08</t>
  </si>
  <si>
    <t xml:space="preserve"> E Spin Fit</t>
  </si>
  <si>
    <t xml:space="preserve"> B Spin Fit</t>
  </si>
  <si>
    <t>Spin Period</t>
  </si>
  <si>
    <t>second</t>
  </si>
  <si>
    <t>JB 2/11/08 2 axes + spin tick</t>
  </si>
  <si>
    <t>JB 2/11/08 1 axis</t>
  </si>
  <si>
    <t>Daily Rate Gbits</t>
  </si>
  <si>
    <t>Weekly Rate Gbits</t>
  </si>
  <si>
    <t>MRD/ELE-287</t>
  </si>
  <si>
    <t>Gbits/Day Allocation</t>
  </si>
  <si>
    <t>Average Data kbps</t>
  </si>
  <si>
    <t>Packet</t>
  </si>
  <si>
    <t>APID
0x00</t>
  </si>
  <si>
    <t>Data Name</t>
  </si>
  <si>
    <t>Default Data Selection</t>
  </si>
  <si>
    <t>No. Comp. Default</t>
  </si>
  <si>
    <t>No. Comp. Avail.</t>
  </si>
  <si>
    <t xml:space="preserve">Source Signals
(Internal to DFB)
</t>
  </si>
  <si>
    <t>ADC Samples/s</t>
  </si>
  <si>
    <t>Note on Source</t>
  </si>
  <si>
    <t>Freq (min)</t>
  </si>
  <si>
    <t>Freq (max)</t>
  </si>
  <si>
    <t>Meas. Range</t>
  </si>
  <si>
    <t xml:space="preserve">Measurement Range </t>
  </si>
  <si>
    <t xml:space="preserve">Measurement Resolution </t>
  </si>
  <si>
    <t>Frequency Bands</t>
  </si>
  <si>
    <t>Sample/s (Min)</t>
  </si>
  <si>
    <t>Sample/s (Max)</t>
  </si>
  <si>
    <t>Sample/s (Default)</t>
  </si>
  <si>
    <t>Comment</t>
  </si>
  <si>
    <t>Bits/Sample</t>
  </si>
  <si>
    <t>Freq Bins
Default</t>
  </si>
  <si>
    <t>Freq Bins Avail</t>
  </si>
  <si>
    <t>Bits/s to CIDP/CDPU</t>
  </si>
  <si>
    <t>Bits/s Orbit Avg.</t>
  </si>
  <si>
    <t>Bytes/sec</t>
  </si>
  <si>
    <t>Pkt Size</t>
  </si>
  <si>
    <t>Pkt Rate</t>
  </si>
  <si>
    <t>Pkt Period</t>
  </si>
  <si>
    <t>Survey Data</t>
  </si>
  <si>
    <t>Waveforms</t>
  </si>
  <si>
    <t>E_SVY</t>
  </si>
  <si>
    <t>E12S, E34S, E56S</t>
  </si>
  <si>
    <t>TBD</t>
  </si>
  <si>
    <t>E12, E34, E56</t>
  </si>
  <si>
    <t>ADC1 - 16K</t>
  </si>
  <si>
    <t>15Hz</t>
  </si>
  <si>
    <t>+/-1 V/m</t>
  </si>
  <si>
    <t>30 uV/m</t>
  </si>
  <si>
    <t>16K</t>
  </si>
  <si>
    <t>V_SVY</t>
  </si>
  <si>
    <t>V1S, V2S, V3S, V4S</t>
  </si>
  <si>
    <t>All</t>
  </si>
  <si>
    <t>V1,V2,V3,V4</t>
  </si>
  <si>
    <t>1-4: 8.0 Hz
5-6: 15Hz</t>
  </si>
  <si>
    <t>1-4: 200 V
5-6: 0.5V/m</t>
  </si>
  <si>
    <t>+/-200V</t>
  </si>
  <si>
    <t>1</t>
  </si>
  <si>
    <t>Fast Survey is 32 sample/s</t>
  </si>
  <si>
    <t>VAX_SVY</t>
  </si>
  <si>
    <t>V5S, V6S</t>
  </si>
  <si>
    <t>0.5V/m</t>
  </si>
  <si>
    <t>FFTs</t>
  </si>
  <si>
    <t>SPEC</t>
  </si>
  <si>
    <t>4E</t>
  </si>
  <si>
    <t>SPEC1, SPEC2, SPEC3, SPEC4, SPEC5, SPEC6, SPEC7, SPEC8</t>
  </si>
  <si>
    <t>SPEC1, SPEC2, SPEC3, SPEC4.
Default: E12ac, E56ac, SCMpar, SCMprp.
In Background:  
SCM1 (TBR), E12AC
V1ac, V2ac</t>
  </si>
  <si>
    <t>Select 8 of:
E12, SCM1, E12ac, SCM2 E34, SCM3, E34ac, SCMpar, E56, SCMprp, E56ac, V1ac, Epar, V2ac, Eprp, V3ac, EparAC, V4ac, EprpAC, V5ac, V6ac</t>
  </si>
  <si>
    <t>ADC1/2 - 16K      (1) All signals except VDC can be selected.      (2) 2048 pt FFT.</t>
  </si>
  <si>
    <t>(1) Epar and Eprp are rotated quantities.               (2) SCMpar and SCMprp are rotated quantities.</t>
  </si>
  <si>
    <t>2 kHz
0.3 kHz</t>
  </si>
  <si>
    <t>Depends on source signal, see waveform table.</t>
  </si>
  <si>
    <t>A  (5%)
See Tables
160 bins</t>
  </si>
  <si>
    <t>B (10%)
See Tables
80 bins</t>
  </si>
  <si>
    <t>C (20%)
See Tables
40 bins</t>
  </si>
  <si>
    <t>1/256</t>
  </si>
  <si>
    <t>4</t>
  </si>
  <si>
    <t>Default:          (1) E12ac          (2) E34ac          (3) SCMpar           (4) SCMprp         V1ac and V2ac spectra done in background. Power spectra not output. Used for X-Spec.</t>
  </si>
  <si>
    <t>160, 80, 40</t>
  </si>
  <si>
    <t>XSPEC</t>
  </si>
  <si>
    <t>4F</t>
  </si>
  <si>
    <t>XSPEC1, XSPEC2, XSPEC3, XSPEC4</t>
  </si>
  <si>
    <t>XSPEC1, XSPEC2, XSPEC3
Default: SCMn(TBR)xSCM1, SCMn(TBR)xE12ac, V1acxV2ac</t>
  </si>
  <si>
    <t>3</t>
  </si>
  <si>
    <t>Select pairs from SPEC1 - SPEC8.</t>
  </si>
  <si>
    <t>ADC1/2 - 16K</t>
  </si>
  <si>
    <t>0-360 deg</t>
  </si>
  <si>
    <t>Phase difference averaged over time / frequency bins as per tables.</t>
  </si>
  <si>
    <t>Variation in phase.</t>
  </si>
  <si>
    <t>A  (5%)
Same as Selection for FFT
See Tables
160 bins</t>
  </si>
  <si>
    <t>B (10%)
Same as Selection for FFT
See Tables
80 bins</t>
  </si>
  <si>
    <t>C (20%)
Same as Selection for FFT
See Tables
40 bins</t>
  </si>
  <si>
    <t>Defaults:      (1) V12 X SCM1             (2) V1ac X V2ac</t>
  </si>
  <si>
    <t>Solitary Wave Counter</t>
  </si>
  <si>
    <t>SOL1</t>
  </si>
  <si>
    <t>4D</t>
  </si>
  <si>
    <t>SOLHIST</t>
  </si>
  <si>
    <t>On</t>
  </si>
  <si>
    <t>Select 1 of:
E12ac, E34ac</t>
  </si>
  <si>
    <t>0.25-0.5,             0.5-1,...,         128-256</t>
  </si>
  <si>
    <t>16</t>
  </si>
  <si>
    <t>Setting for sigma needed.</t>
  </si>
  <si>
    <t>Filter Bank</t>
  </si>
  <si>
    <t>FB</t>
  </si>
  <si>
    <t>FB1_Ave and FB1_Peak, FB2_Ave and FB2_Peak 
*Components are selected in pairs; Select either FB1 or FB2, single selection provides 2 components: Ave &amp; Peak</t>
  </si>
  <si>
    <t>Select 2 of:
E12, E12ac, E34, E34ac, E56, E56ac, SCM1, SCM2, SCM3</t>
  </si>
  <si>
    <t>2kHz</t>
  </si>
  <si>
    <t>100dB</t>
  </si>
  <si>
    <t>A
0.8-1.5, 1.5-3, 3-6, 6-12, 12-25, 25-50, 50-100, 100-200, 200-400, 400-800, 800-1.6k, 1.6k-3.2k, 3.2-6.5k</t>
  </si>
  <si>
    <t>B (Default)
0.8-1.5, 3-6, 12-25, 50-100, 200-400, 800-1.6k, 3.2-6.5k</t>
  </si>
  <si>
    <t>1/16</t>
  </si>
  <si>
    <t>64</t>
  </si>
  <si>
    <t>8</t>
  </si>
  <si>
    <t>Peak is highest value in measurement period.</t>
  </si>
  <si>
    <t>Total, Survey Data</t>
  </si>
  <si>
    <t>Burst 1 (Low Rate)</t>
  </si>
  <si>
    <t>E_B1</t>
  </si>
  <si>
    <t>E12B1, E34B1, E56B1</t>
  </si>
  <si>
    <t>250 Hz</t>
  </si>
  <si>
    <t>Make available if burst enabled.</t>
  </si>
  <si>
    <t>V_B1</t>
  </si>
  <si>
    <t>V1B1, V2B1, V3B1, V4B1, V5B1, V6B1</t>
  </si>
  <si>
    <t>TBR</t>
  </si>
  <si>
    <t>V1,V2,V3,V4,V5,V6</t>
  </si>
  <si>
    <t>250Hz</t>
  </si>
  <si>
    <t>SCM_B1</t>
  </si>
  <si>
    <t>SCM1_B1, SCM2_B1, SCM3_B1</t>
  </si>
  <si>
    <t>SCM1, SCM2, SCM3</t>
  </si>
  <si>
    <t>ADC2 - 16K</t>
  </si>
  <si>
    <t>SCM freq. range may be limited.</t>
  </si>
  <si>
    <t>NA</t>
  </si>
  <si>
    <t>Total, Burst 1</t>
  </si>
  <si>
    <t>Burst 2 (Interferometric)</t>
  </si>
  <si>
    <t>E_B2</t>
  </si>
  <si>
    <t>EXB2, EYB2, EZB2</t>
  </si>
  <si>
    <t>E12, E34, E56, E12ac, E34ac, E56ac, Epar, Eprp, EparAC, EprpAC</t>
  </si>
  <si>
    <t>Check capacitive coupling for AC/ DC gain.</t>
  </si>
  <si>
    <t>AC: +/- 200 mV/m.           DC: +/-1 V/m</t>
  </si>
  <si>
    <t>AC: 6 uV/m. DC: 30 uV/m.</t>
  </si>
  <si>
    <t>Epar and Eprp are rotated quantities.</t>
  </si>
  <si>
    <t>V_B2</t>
  </si>
  <si>
    <t>4A</t>
  </si>
  <si>
    <t>V1ac, V2ac, V3ac, V4ac, V5ac, V6ac</t>
  </si>
  <si>
    <t>+/-10V</t>
  </si>
  <si>
    <t>0.3mV</t>
  </si>
  <si>
    <t>SCM_B2</t>
  </si>
  <si>
    <t>4B</t>
  </si>
  <si>
    <t>SCM1_B2, SCM2_B2, SCM3_B2</t>
  </si>
  <si>
    <t>SCM1, SCM2, SCM3, SCMpar, SCMprp</t>
  </si>
  <si>
    <t>SCMpar and SCMprp are rotated quantities.</t>
  </si>
  <si>
    <t>Total, Burst 2</t>
  </si>
  <si>
    <t>Total, EFW</t>
  </si>
  <si>
    <t>Want ≤ 12 kbps</t>
  </si>
  <si>
    <t>LASP 04/25/08</t>
  </si>
  <si>
    <t>4/25/08: Eliminated Fast Survey Data Set</t>
  </si>
  <si>
    <t>DFB Survey</t>
  </si>
  <si>
    <t>On-Orbit Calcs</t>
  </si>
  <si>
    <t>APID</t>
  </si>
  <si>
    <t>Bits/s to IDPU</t>
  </si>
  <si>
    <t>E12dc, E34dc, E56dc</t>
  </si>
  <si>
    <t>V1dc,V2dc,V3dc,V4dc, V5dc, V6dc</t>
  </si>
  <si>
    <t>+/-225V</t>
  </si>
  <si>
    <t>MAG_SVY</t>
  </si>
  <si>
    <t>In order of delivery: MAGU, MAGV, MAGW</t>
  </si>
  <si>
    <t>MAGU, MAGV, MAGW</t>
  </si>
  <si>
    <t>300 Hz</t>
  </si>
  <si>
    <t>+/- 5 V</t>
  </si>
  <si>
    <t>SPEC1, SPEC2, SPEC3, SPEC4.
Default: E12ac E56ac, SCMpar, SCMprp.
In background for XSPEC:  
SCMW, V1ac, V2ac</t>
  </si>
  <si>
    <t>Select 8 of: E12dc, E34dc, E56dc, E12ac, E34ac, E56ac, Edcpar, Edcprp, Eacpar, Eacprp, V1ac, V2ac, V3ac, V4ac, V5ac, V6ac SCMU, SCMV, SCMW, SCMpar, SCMprp, (V1dc+V2dc+V3dc+V4dc)/4, Edcprp2, Eacprp2, SCMprp2</t>
  </si>
  <si>
    <t>A  (5%)
See Tables
112 bins</t>
  </si>
  <si>
    <t>B (10%)
See Tables
64 bins</t>
  </si>
  <si>
    <t>C (20%)
See Tables
36 bins</t>
  </si>
  <si>
    <t>See Compression section</t>
  </si>
  <si>
    <t>112, 64, 32</t>
  </si>
  <si>
    <t>XSPEC1, XSPEC2
Default: SCMWxE12ac, V1acxV2ac</t>
  </si>
  <si>
    <t>2</t>
  </si>
  <si>
    <t>Select pairs from SPEC1 - SPEC8.
Select: number of FFTs per XSPEC in addition to cadence.</t>
  </si>
  <si>
    <t>A  (5%)
Same as Selection for FFT
See Tables
112 bins</t>
  </si>
  <si>
    <t>B (10%)
Same as Selection for FFT
See Tables
64 bins</t>
  </si>
  <si>
    <t>C (20%)
Same as Selection for FFT
See Tables
36 bins</t>
  </si>
  <si>
    <t>24 bits: 8/8/8/8: real &amp; imaginary, power, power
See Compression section</t>
  </si>
  <si>
    <t>SWD</t>
  </si>
  <si>
    <t>SWDHIST</t>
  </si>
  <si>
    <t>E12ac</t>
  </si>
  <si>
    <t>4 ranges, configurable</t>
  </si>
  <si>
    <t>1/32</t>
  </si>
  <si>
    <t>In order of delivery: FB1_Ave and FB1_Peak, FB2_Ave and FB2_Peak 
*Components are selected in pairs; Select either FB1 or FB2, single selection provides 2 components: Ave &amp; Peak</t>
  </si>
  <si>
    <t>E12dc</t>
  </si>
  <si>
    <t>Select 2 of:
E12dc, E12ac, E34dc, E34ac, E56dc, E56ac, SCMU, SCMV, SCMW, (V1dc+V2dc+V3dc+V4dc)/4</t>
  </si>
  <si>
    <t>A, 13 bins
0.8-1.5, 1.5-3, 3-6, 6-12, 12-25, 25-50, 50-100, 100-200, 200-400, 400-800, 800-1.6k, 1.6k-3.2k, 3.2-6.5k</t>
  </si>
  <si>
    <t>B, 7 bins (Default)
0.8-1.5, 3-6, 12-25, 50-100, 200-400, 800-1.6k, 3.2-6.5k</t>
  </si>
  <si>
    <r>
      <t xml:space="preserve">Peak is highest value in measurement period.
</t>
    </r>
    <r>
      <rPr>
        <sz val="10"/>
        <rFont val="Arial"/>
        <family val="0"/>
      </rPr>
      <t>See Compression section</t>
    </r>
    <r>
      <rPr>
        <sz val="10"/>
        <rFont val="Arial"/>
        <family val="0"/>
      </rPr>
      <t xml:space="preserve">
</t>
    </r>
  </si>
  <si>
    <t>In order of delivery: E12B1, E34B1, E56B1</t>
  </si>
  <si>
    <t>In order of delivery: V1B1, V2B1, V3B1, V4B1, V5B1, V6B1</t>
  </si>
  <si>
    <t>V1dc,V2dc,V3dc,V4dc,V5dc,V6dc</t>
  </si>
  <si>
    <t>In order of delivery: SCMU_B1, SCMV_B1, SCMW_B1</t>
  </si>
  <si>
    <t>SCMU, SCMV, SCMW</t>
  </si>
  <si>
    <t>+/-5V</t>
  </si>
  <si>
    <t xml:space="preserve">E12dcB2, E34dcB2, E56dcB2, E12acB2, E34acB2, E56acB2, EdcparB2, EdcprpB2, EacparB2, EacprpB2, </t>
  </si>
  <si>
    <t>E12AC, E34AC, E56AC</t>
  </si>
  <si>
    <t>E12dc, E34dc, E56dc, E12ac, E34ac, E56ac, Edcpar, Edcprp, Eacpar, Eacprp
Intended selections: 3 AC signals (12, 34, 56) or 5 AC signals (+par &amp; prp), or same 2 options with DC</t>
  </si>
  <si>
    <t>AC: +/- 400 mV/m.           DC: +/-1 V/m</t>
  </si>
  <si>
    <t>AC: 12 uV/m. DC: 30 uV/m.</t>
  </si>
  <si>
    <t>Make available if burst enabled.
Either 3 or 5 products, and either DC or AC. (E12, E34, E56)  or  (E12, E34, E56) and (Epar, Eprp)</t>
  </si>
  <si>
    <t>In order of delivery: 
V1B2, V2B2, V3B2, V4B2, V5B2, V6B2</t>
  </si>
  <si>
    <t>+/-12.5V</t>
  </si>
  <si>
    <t>0.4mV</t>
  </si>
  <si>
    <t>SCMU_B2, SCMV_B2, SCMW_B2, SCMpar_B2, SCMprp_B2</t>
  </si>
  <si>
    <t>SCMU, SCMV, SCMW, SCMpar, SCMprp</t>
  </si>
  <si>
    <t>30 HZ</t>
  </si>
  <si>
    <t>+/- 5V</t>
  </si>
  <si>
    <r>
      <t>In order of delivery:</t>
    </r>
    <r>
      <rPr>
        <sz val="10"/>
        <rFont val="Arial"/>
        <family val="0"/>
      </rPr>
      <t xml:space="preserve"> </t>
    </r>
    <r>
      <rPr>
        <sz val="9"/>
        <rFont val="Arial"/>
        <family val="0"/>
      </rPr>
      <t>E12S, E34S, E56S</t>
    </r>
  </si>
  <si>
    <r>
      <t>In order of delivery:</t>
    </r>
    <r>
      <rPr>
        <sz val="10"/>
        <rFont val="Arial"/>
        <family val="0"/>
      </rPr>
      <t xml:space="preserve"> </t>
    </r>
    <r>
      <rPr>
        <sz val="9"/>
        <rFont val="Arial"/>
        <family val="0"/>
      </rPr>
      <t>V1S, V2S, V3S, V4S, V5S, V6S</t>
    </r>
  </si>
  <si>
    <r>
      <t>In order of delivery:</t>
    </r>
    <r>
      <rPr>
        <sz val="10"/>
        <rFont val="Arial"/>
        <family val="0"/>
      </rPr>
      <t xml:space="preserve"> </t>
    </r>
    <r>
      <rPr>
        <sz val="9"/>
        <rFont val="Arial"/>
        <family val="0"/>
      </rPr>
      <t>SPEC1, SPEC2, SPEC3, SPEC4, SPEC5, SPEC6, SPEC7, SPEC8</t>
    </r>
  </si>
  <si>
    <r>
      <t>In order of delivery:</t>
    </r>
    <r>
      <rPr>
        <sz val="10"/>
        <rFont val="Arial"/>
        <family val="0"/>
      </rPr>
      <t xml:space="preserve"> X</t>
    </r>
    <r>
      <rPr>
        <sz val="9"/>
        <rFont val="Arial"/>
        <family val="0"/>
      </rPr>
      <t>SPEC1 (Rc,Ic, Px, Py), XSPEC2, XSPEC3, XSPEC4</t>
    </r>
  </si>
  <si>
    <t>9/12/09: Updated with 08-27-09 Spreadsheet from Susan Bastiste</t>
  </si>
  <si>
    <t>NOTES</t>
  </si>
  <si>
    <t>32 samp/s; E12DC, E34DC, E56DC.</t>
  </si>
  <si>
    <t>64 samp/s; disabled; MAG1..MAG3.</t>
  </si>
  <si>
    <t>2 channels; 8-s cadence; E12DC, SCMa.</t>
  </si>
  <si>
    <t>2 channels; 8-s cadence; 10% df/f (64 bins); SCMw X E12ac, V1AC X V2AC.</t>
  </si>
  <si>
    <t>12-s (spin period) cadence; E12DC.</t>
  </si>
  <si>
    <t>12-s (spin period) cadence; MAGu.</t>
  </si>
  <si>
    <t>16 samp/s; V1..V6.</t>
  </si>
  <si>
    <t>4 channels; 8-s cadence; 10% df/f (64 bins); E12AC, E56AC, MSCU, MSCV, MSCW, V1AC, V2AC</t>
  </si>
  <si>
    <t>Burst Defaults:  
B1 -- 512 samp/s; E12DC, E34DC, E56DC, V1..V6, SCMu..SCMw.  
B2 -- 16 ksamp/s; V1AC..V6AC, MSCu..MSCw</t>
  </si>
  <si>
    <t>3/16/2012: Updated Spectra Quantities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</si>
</sst>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2" fillId="32" borderId="10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/>
    </xf>
    <xf numFmtId="2" fontId="2" fillId="32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14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32" borderId="14" xfId="0" applyFont="1" applyFill="1" applyBorder="1" applyAlignment="1">
      <alignment horizontal="right"/>
    </xf>
    <xf numFmtId="2" fontId="4" fillId="32" borderId="10" xfId="0" applyNumberFormat="1" applyFont="1" applyFill="1" applyBorder="1" applyAlignment="1">
      <alignment horizontal="right"/>
    </xf>
    <xf numFmtId="2" fontId="4" fillId="32" borderId="15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5" xfId="0" applyFont="1" applyFill="1" applyBorder="1" applyAlignment="1">
      <alignment horizontal="right"/>
    </xf>
    <xf numFmtId="165" fontId="2" fillId="32" borderId="10" xfId="0" applyNumberFormat="1" applyFont="1" applyFill="1" applyBorder="1" applyAlignment="1">
      <alignment horizontal="center"/>
    </xf>
    <xf numFmtId="165" fontId="2" fillId="32" borderId="15" xfId="0" applyNumberFormat="1" applyFont="1" applyFill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32" borderId="19" xfId="0" applyFont="1" applyFill="1" applyBorder="1" applyAlignment="1">
      <alignment horizontal="left" vertical="top"/>
    </xf>
    <xf numFmtId="0" fontId="0" fillId="32" borderId="20" xfId="0" applyFill="1" applyBorder="1" applyAlignment="1">
      <alignment horizontal="center" vertical="top" wrapText="1"/>
    </xf>
    <xf numFmtId="49" fontId="0" fillId="32" borderId="20" xfId="0" applyNumberFormat="1" applyFill="1" applyBorder="1" applyAlignment="1">
      <alignment horizontal="center" vertical="top" wrapText="1"/>
    </xf>
    <xf numFmtId="0" fontId="0" fillId="32" borderId="20" xfId="0" applyFill="1" applyBorder="1" applyAlignment="1">
      <alignment vertical="top" wrapText="1"/>
    </xf>
    <xf numFmtId="0" fontId="2" fillId="32" borderId="20" xfId="0" applyFont="1" applyFill="1" applyBorder="1" applyAlignment="1">
      <alignment horizontal="center" vertical="top" wrapText="1"/>
    </xf>
    <xf numFmtId="0" fontId="0" fillId="32" borderId="21" xfId="0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32" borderId="14" xfId="0" applyFill="1" applyBorder="1" applyAlignment="1">
      <alignment horizontal="left" vertical="top"/>
    </xf>
    <xf numFmtId="0" fontId="0" fillId="32" borderId="10" xfId="0" applyFill="1" applyBorder="1" applyAlignment="1">
      <alignment horizontal="center" vertical="top" wrapText="1"/>
    </xf>
    <xf numFmtId="0" fontId="0" fillId="32" borderId="10" xfId="0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/>
    </xf>
    <xf numFmtId="49" fontId="0" fillId="32" borderId="10" xfId="0" applyNumberForma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" fontId="0" fillId="32" borderId="10" xfId="0" applyNumberFormat="1" applyFill="1" applyBorder="1" applyAlignment="1">
      <alignment horizontal="right" vertical="top" wrapText="1"/>
    </xf>
    <xf numFmtId="9" fontId="0" fillId="32" borderId="10" xfId="57" applyFill="1" applyBorder="1" applyAlignment="1">
      <alignment vertical="top" wrapText="1"/>
    </xf>
    <xf numFmtId="1" fontId="0" fillId="32" borderId="15" xfId="0" applyNumberFormat="1" applyFill="1" applyBorder="1" applyAlignment="1">
      <alignment vertical="top" wrapText="1"/>
    </xf>
    <xf numFmtId="1" fontId="0" fillId="0" borderId="0" xfId="0" applyNumberFormat="1" applyFill="1" applyBorder="1" applyAlignment="1">
      <alignment vertical="top" wrapText="1"/>
    </xf>
    <xf numFmtId="165" fontId="0" fillId="32" borderId="10" xfId="0" applyNumberFormat="1" applyFill="1" applyBorder="1" applyAlignment="1">
      <alignment vertical="top" wrapText="1"/>
    </xf>
    <xf numFmtId="164" fontId="0" fillId="32" borderId="10" xfId="0" applyNumberFormat="1" applyFill="1" applyBorder="1" applyAlignment="1">
      <alignment vertical="top" wrapText="1"/>
    </xf>
    <xf numFmtId="0" fontId="7" fillId="32" borderId="10" xfId="0" applyFont="1" applyFill="1" applyBorder="1" applyAlignment="1">
      <alignment wrapText="1"/>
    </xf>
    <xf numFmtId="9" fontId="0" fillId="32" borderId="10" xfId="0" applyNumberForma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right" vertical="top" wrapText="1"/>
    </xf>
    <xf numFmtId="166" fontId="2" fillId="0" borderId="12" xfId="57" applyNumberFormat="1" applyFont="1" applyFill="1" applyBorder="1" applyAlignment="1">
      <alignment vertical="top" wrapText="1"/>
    </xf>
    <xf numFmtId="1" fontId="2" fillId="0" borderId="13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65" fontId="0" fillId="0" borderId="10" xfId="0" applyNumberForma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49" fontId="0" fillId="32" borderId="10" xfId="0" applyNumberFormat="1" applyFill="1" applyBorder="1" applyAlignment="1">
      <alignment vertical="top" wrapText="1"/>
    </xf>
    <xf numFmtId="13" fontId="2" fillId="32" borderId="10" xfId="0" applyNumberFormat="1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right" vertical="top" wrapText="1"/>
    </xf>
    <xf numFmtId="49" fontId="0" fillId="32" borderId="22" xfId="0" applyNumberFormat="1" applyFill="1" applyBorder="1" applyAlignment="1">
      <alignment horizontal="left" vertical="top"/>
    </xf>
    <xf numFmtId="49" fontId="0" fillId="32" borderId="23" xfId="0" applyNumberFormat="1" applyFill="1" applyBorder="1" applyAlignment="1">
      <alignment horizontal="center" vertical="top" wrapText="1"/>
    </xf>
    <xf numFmtId="49" fontId="0" fillId="32" borderId="23" xfId="0" applyNumberFormat="1" applyFill="1" applyBorder="1" applyAlignment="1">
      <alignment vertical="top" wrapText="1"/>
    </xf>
    <xf numFmtId="49" fontId="0" fillId="32" borderId="23" xfId="0" applyNumberFormat="1" applyFont="1" applyFill="1" applyBorder="1" applyAlignment="1">
      <alignment vertical="top" wrapText="1"/>
    </xf>
    <xf numFmtId="49" fontId="0" fillId="32" borderId="23" xfId="0" applyNumberFormat="1" applyFill="1" applyBorder="1" applyAlignment="1">
      <alignment horizontal="right" vertical="top" wrapText="1"/>
    </xf>
    <xf numFmtId="0" fontId="0" fillId="32" borderId="23" xfId="0" applyFill="1" applyBorder="1" applyAlignment="1">
      <alignment horizontal="center" vertical="top" wrapText="1"/>
    </xf>
    <xf numFmtId="13" fontId="2" fillId="32" borderId="23" xfId="0" applyNumberFormat="1" applyFont="1" applyFill="1" applyBorder="1" applyAlignment="1">
      <alignment horizontal="center" vertical="top" wrapText="1"/>
    </xf>
    <xf numFmtId="0" fontId="0" fillId="32" borderId="23" xfId="0" applyFill="1" applyBorder="1" applyAlignment="1">
      <alignment vertical="top" wrapText="1"/>
    </xf>
    <xf numFmtId="0" fontId="0" fillId="32" borderId="23" xfId="0" applyFill="1" applyBorder="1" applyAlignment="1">
      <alignment horizontal="right" vertical="top" wrapText="1"/>
    </xf>
    <xf numFmtId="1" fontId="0" fillId="32" borderId="23" xfId="0" applyNumberFormat="1" applyFill="1" applyBorder="1" applyAlignment="1">
      <alignment horizontal="right" vertical="top" wrapText="1"/>
    </xf>
    <xf numFmtId="9" fontId="0" fillId="32" borderId="23" xfId="57" applyFill="1" applyBorder="1" applyAlignment="1">
      <alignment vertical="top" wrapText="1"/>
    </xf>
    <xf numFmtId="1" fontId="0" fillId="32" borderId="24" xfId="0" applyNumberForma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/>
    </xf>
    <xf numFmtId="49" fontId="2" fillId="0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right" vertical="top" wrapText="1"/>
    </xf>
    <xf numFmtId="13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9" fontId="2" fillId="0" borderId="12" xfId="57" applyFont="1" applyFill="1" applyBorder="1" applyAlignment="1">
      <alignment vertical="top" wrapText="1"/>
    </xf>
    <xf numFmtId="49" fontId="0" fillId="32" borderId="16" xfId="0" applyNumberFormat="1" applyFill="1" applyBorder="1" applyAlignment="1">
      <alignment horizontal="left" vertical="top"/>
    </xf>
    <xf numFmtId="0" fontId="0" fillId="32" borderId="17" xfId="0" applyFill="1" applyBorder="1" applyAlignment="1">
      <alignment horizontal="center" vertical="top" wrapText="1"/>
    </xf>
    <xf numFmtId="49" fontId="0" fillId="32" borderId="17" xfId="0" applyNumberFormat="1" applyFill="1" applyBorder="1" applyAlignment="1">
      <alignment vertical="top" wrapText="1"/>
    </xf>
    <xf numFmtId="49" fontId="0" fillId="32" borderId="17" xfId="0" applyNumberFormat="1" applyFont="1" applyFill="1" applyBorder="1" applyAlignment="1">
      <alignment vertical="top" wrapText="1"/>
    </xf>
    <xf numFmtId="49" fontId="0" fillId="32" borderId="17" xfId="0" applyNumberFormat="1" applyFill="1" applyBorder="1" applyAlignment="1">
      <alignment horizontal="right" vertical="top" wrapText="1"/>
    </xf>
    <xf numFmtId="49" fontId="0" fillId="32" borderId="17" xfId="0" applyNumberFormat="1" applyFill="1" applyBorder="1" applyAlignment="1">
      <alignment horizontal="center" vertical="top" wrapText="1"/>
    </xf>
    <xf numFmtId="0" fontId="0" fillId="32" borderId="17" xfId="0" applyFill="1" applyBorder="1" applyAlignment="1">
      <alignment vertical="top" wrapText="1"/>
    </xf>
    <xf numFmtId="13" fontId="2" fillId="32" borderId="17" xfId="0" applyNumberFormat="1" applyFont="1" applyFill="1" applyBorder="1" applyAlignment="1">
      <alignment horizontal="center" vertical="top" wrapText="1"/>
    </xf>
    <xf numFmtId="0" fontId="0" fillId="32" borderId="17" xfId="0" applyFill="1" applyBorder="1" applyAlignment="1">
      <alignment horizontal="right" vertical="top" wrapText="1"/>
    </xf>
    <xf numFmtId="1" fontId="0" fillId="32" borderId="17" xfId="0" applyNumberFormat="1" applyFill="1" applyBorder="1" applyAlignment="1">
      <alignment horizontal="right" vertical="top" wrapText="1"/>
    </xf>
    <xf numFmtId="9" fontId="0" fillId="32" borderId="17" xfId="57" applyFill="1" applyBorder="1" applyAlignment="1">
      <alignment vertical="top" wrapText="1"/>
    </xf>
    <xf numFmtId="1" fontId="0" fillId="32" borderId="18" xfId="0" applyNumberFormat="1" applyFill="1" applyBorder="1" applyAlignment="1">
      <alignment vertical="top" wrapText="1"/>
    </xf>
    <xf numFmtId="49" fontId="4" fillId="0" borderId="25" xfId="0" applyNumberFormat="1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1" fontId="2" fillId="0" borderId="27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32" borderId="16" xfId="0" applyFill="1" applyBorder="1" applyAlignment="1">
      <alignment horizontal="left" vertical="top"/>
    </xf>
    <xf numFmtId="0" fontId="0" fillId="32" borderId="17" xfId="0" applyFont="1" applyFill="1" applyBorder="1" applyAlignment="1">
      <alignment vertical="top" wrapText="1"/>
    </xf>
    <xf numFmtId="49" fontId="2" fillId="32" borderId="17" xfId="0" applyNumberFormat="1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left" vertical="top"/>
    </xf>
    <xf numFmtId="0" fontId="0" fillId="3" borderId="29" xfId="0" applyFont="1" applyFill="1" applyBorder="1" applyAlignment="1">
      <alignment horizontal="center" vertical="top" wrapText="1"/>
    </xf>
    <xf numFmtId="49" fontId="0" fillId="3" borderId="29" xfId="0" applyNumberFormat="1" applyFont="1" applyFill="1" applyBorder="1" applyAlignment="1">
      <alignment vertical="top" wrapText="1"/>
    </xf>
    <xf numFmtId="0" fontId="0" fillId="3" borderId="29" xfId="0" applyFont="1" applyFill="1" applyBorder="1" applyAlignment="1">
      <alignment vertical="top" wrapText="1"/>
    </xf>
    <xf numFmtId="49" fontId="0" fillId="3" borderId="29" xfId="0" applyNumberFormat="1" applyFont="1" applyFill="1" applyBorder="1" applyAlignment="1">
      <alignment horizontal="center" vertical="top" wrapText="1"/>
    </xf>
    <xf numFmtId="49" fontId="2" fillId="3" borderId="29" xfId="0" applyNumberFormat="1" applyFont="1" applyFill="1" applyBorder="1" applyAlignment="1">
      <alignment horizontal="center" vertical="top" wrapText="1"/>
    </xf>
    <xf numFmtId="0" fontId="0" fillId="3" borderId="29" xfId="0" applyFont="1" applyFill="1" applyBorder="1" applyAlignment="1">
      <alignment horizontal="right" vertical="top" wrapText="1"/>
    </xf>
    <xf numFmtId="1" fontId="0" fillId="3" borderId="29" xfId="0" applyNumberFormat="1" applyFont="1" applyFill="1" applyBorder="1" applyAlignment="1">
      <alignment horizontal="right" vertical="top" wrapText="1"/>
    </xf>
    <xf numFmtId="9" fontId="0" fillId="3" borderId="29" xfId="57" applyFont="1" applyFill="1" applyBorder="1" applyAlignment="1">
      <alignment vertical="top" wrapText="1"/>
    </xf>
    <xf numFmtId="1" fontId="0" fillId="3" borderId="3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5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0" fillId="0" borderId="31" xfId="0" applyFill="1" applyBorder="1" applyAlignment="1">
      <alignment horizontal="left" vertical="top"/>
    </xf>
    <xf numFmtId="0" fontId="0" fillId="0" borderId="32" xfId="0" applyFill="1" applyBorder="1" applyAlignment="1">
      <alignment horizontal="center" vertical="top" wrapText="1"/>
    </xf>
    <xf numFmtId="49" fontId="0" fillId="0" borderId="32" xfId="0" applyNumberForma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49" fontId="0" fillId="0" borderId="32" xfId="0" applyNumberForma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right" vertical="top" wrapText="1"/>
    </xf>
    <xf numFmtId="1" fontId="0" fillId="0" borderId="32" xfId="0" applyNumberFormat="1" applyFill="1" applyBorder="1" applyAlignment="1">
      <alignment horizontal="right" vertical="top" wrapText="1"/>
    </xf>
    <xf numFmtId="9" fontId="0" fillId="0" borderId="32" xfId="57" applyFill="1" applyBorder="1" applyAlignment="1">
      <alignment vertical="top" wrapText="1"/>
    </xf>
    <xf numFmtId="1" fontId="0" fillId="0" borderId="33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" fillId="34" borderId="11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1" fontId="2" fillId="34" borderId="12" xfId="0" applyNumberFormat="1" applyFont="1" applyFill="1" applyBorder="1" applyAlignment="1">
      <alignment horizontal="right" vertical="top" wrapText="1"/>
    </xf>
    <xf numFmtId="9" fontId="2" fillId="34" borderId="12" xfId="57" applyFont="1" applyFill="1" applyBorder="1" applyAlignment="1">
      <alignment vertical="top" wrapText="1"/>
    </xf>
    <xf numFmtId="1" fontId="2" fillId="34" borderId="13" xfId="0" applyNumberFormat="1" applyFont="1" applyFill="1" applyBorder="1" applyAlignment="1">
      <alignment vertical="top" wrapText="1"/>
    </xf>
    <xf numFmtId="0" fontId="0" fillId="34" borderId="14" xfId="0" applyFill="1" applyBorder="1" applyAlignment="1">
      <alignment horizontal="left" vertical="top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vertical="top" wrapText="1"/>
    </xf>
    <xf numFmtId="0" fontId="7" fillId="35" borderId="34" xfId="0" applyFont="1" applyFill="1" applyBorder="1" applyAlignment="1">
      <alignment horizontal="right"/>
    </xf>
    <xf numFmtId="49" fontId="0" fillId="34" borderId="10" xfId="0" applyNumberForma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3" fontId="0" fillId="34" borderId="10" xfId="0" applyNumberFormat="1" applyFill="1" applyBorder="1" applyAlignment="1">
      <alignment horizontal="right" vertical="top" wrapText="1"/>
    </xf>
    <xf numFmtId="166" fontId="0" fillId="34" borderId="10" xfId="57" applyNumberFormat="1" applyFill="1" applyBorder="1" applyAlignment="1">
      <alignment vertical="top" wrapText="1"/>
    </xf>
    <xf numFmtId="1" fontId="0" fillId="34" borderId="15" xfId="0" applyNumberFormat="1" applyFill="1" applyBorder="1" applyAlignment="1">
      <alignment vertical="top" wrapText="1"/>
    </xf>
    <xf numFmtId="165" fontId="0" fillId="34" borderId="10" xfId="0" applyNumberFormat="1" applyFill="1" applyBorder="1" applyAlignment="1">
      <alignment vertical="top" wrapText="1"/>
    </xf>
    <xf numFmtId="164" fontId="0" fillId="34" borderId="10" xfId="0" applyNumberForma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7" fillId="35" borderId="35" xfId="0" applyFont="1" applyFill="1" applyBorder="1" applyAlignment="1">
      <alignment horizontal="right"/>
    </xf>
    <xf numFmtId="0" fontId="0" fillId="34" borderId="16" xfId="0" applyFill="1" applyBorder="1" applyAlignment="1">
      <alignment horizontal="left" vertical="top"/>
    </xf>
    <xf numFmtId="0" fontId="0" fillId="34" borderId="17" xfId="0" applyFill="1" applyBorder="1" applyAlignment="1">
      <alignment horizontal="center" vertical="top" wrapText="1"/>
    </xf>
    <xf numFmtId="0" fontId="0" fillId="34" borderId="17" xfId="0" applyFill="1" applyBorder="1" applyAlignment="1">
      <alignment vertical="top" wrapText="1"/>
    </xf>
    <xf numFmtId="49" fontId="0" fillId="34" borderId="17" xfId="0" applyNumberForma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3" fontId="0" fillId="34" borderId="17" xfId="0" applyNumberFormat="1" applyFill="1" applyBorder="1" applyAlignment="1">
      <alignment horizontal="right" vertical="top" wrapText="1"/>
    </xf>
    <xf numFmtId="166" fontId="0" fillId="34" borderId="17" xfId="57" applyNumberFormat="1" applyFill="1" applyBorder="1" applyAlignment="1">
      <alignment vertical="top" wrapText="1"/>
    </xf>
    <xf numFmtId="1" fontId="0" fillId="34" borderId="18" xfId="0" applyNumberFormat="1" applyFill="1" applyBorder="1" applyAlignment="1">
      <alignment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9" xfId="0" applyFill="1" applyBorder="1" applyAlignment="1">
      <alignment vertical="top" wrapText="1"/>
    </xf>
    <xf numFmtId="49" fontId="0" fillId="3" borderId="29" xfId="0" applyNumberForma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3" fontId="0" fillId="3" borderId="29" xfId="0" applyNumberFormat="1" applyFill="1" applyBorder="1" applyAlignment="1">
      <alignment horizontal="right" vertical="top" wrapText="1"/>
    </xf>
    <xf numFmtId="166" fontId="0" fillId="3" borderId="29" xfId="57" applyNumberFormat="1" applyFill="1" applyBorder="1" applyAlignment="1">
      <alignment vertical="top" wrapText="1"/>
    </xf>
    <xf numFmtId="1" fontId="0" fillId="3" borderId="30" xfId="0" applyNumberFormat="1" applyFill="1" applyBorder="1" applyAlignment="1">
      <alignment vertical="top" wrapText="1"/>
    </xf>
    <xf numFmtId="0" fontId="2" fillId="0" borderId="32" xfId="0" applyFont="1" applyFill="1" applyBorder="1" applyAlignment="1">
      <alignment horizontal="center" vertical="top" wrapText="1"/>
    </xf>
    <xf numFmtId="3" fontId="0" fillId="0" borderId="32" xfId="0" applyNumberFormat="1" applyFill="1" applyBorder="1" applyAlignment="1">
      <alignment horizontal="right" vertical="top" wrapText="1"/>
    </xf>
    <xf numFmtId="166" fontId="0" fillId="0" borderId="32" xfId="57" applyNumberFormat="1" applyFill="1" applyBorder="1" applyAlignment="1">
      <alignment vertical="top" wrapText="1"/>
    </xf>
    <xf numFmtId="3" fontId="2" fillId="34" borderId="12" xfId="0" applyNumberFormat="1" applyFont="1" applyFill="1" applyBorder="1" applyAlignment="1">
      <alignment horizontal="right" vertical="top" wrapText="1"/>
    </xf>
    <xf numFmtId="166" fontId="2" fillId="34" borderId="12" xfId="57" applyNumberFormat="1" applyFont="1" applyFill="1" applyBorder="1" applyAlignment="1">
      <alignment vertical="top" wrapText="1"/>
    </xf>
    <xf numFmtId="49" fontId="0" fillId="34" borderId="10" xfId="0" applyNumberFormat="1" applyFill="1" applyBorder="1" applyAlignment="1">
      <alignment horizontal="left" vertical="top" wrapText="1"/>
    </xf>
    <xf numFmtId="0" fontId="6" fillId="34" borderId="17" xfId="0" applyFont="1" applyFill="1" applyBorder="1" applyAlignment="1">
      <alignment vertical="top" wrapText="1"/>
    </xf>
    <xf numFmtId="1" fontId="0" fillId="34" borderId="17" xfId="0" applyNumberFormat="1" applyFill="1" applyBorder="1" applyAlignment="1">
      <alignment horizontal="right" vertical="top" wrapText="1"/>
    </xf>
    <xf numFmtId="0" fontId="2" fillId="3" borderId="36" xfId="0" applyFont="1" applyFill="1" applyBorder="1" applyAlignment="1">
      <alignment horizontal="left" vertical="top"/>
    </xf>
    <xf numFmtId="0" fontId="2" fillId="3" borderId="37" xfId="0" applyFont="1" applyFill="1" applyBorder="1" applyAlignment="1">
      <alignment horizontal="center" vertical="top" wrapText="1"/>
    </xf>
    <xf numFmtId="0" fontId="2" fillId="3" borderId="37" xfId="0" applyFont="1" applyFill="1" applyBorder="1" applyAlignment="1">
      <alignment vertical="top" wrapText="1"/>
    </xf>
    <xf numFmtId="49" fontId="2" fillId="3" borderId="37" xfId="0" applyNumberFormat="1" applyFont="1" applyFill="1" applyBorder="1" applyAlignment="1">
      <alignment vertical="top" wrapText="1"/>
    </xf>
    <xf numFmtId="49" fontId="2" fillId="3" borderId="37" xfId="0" applyNumberFormat="1" applyFont="1" applyFill="1" applyBorder="1" applyAlignment="1">
      <alignment horizontal="center" vertical="top" wrapText="1"/>
    </xf>
    <xf numFmtId="3" fontId="2" fillId="3" borderId="37" xfId="0" applyNumberFormat="1" applyFont="1" applyFill="1" applyBorder="1" applyAlignment="1">
      <alignment vertical="top" wrapText="1"/>
    </xf>
    <xf numFmtId="1" fontId="2" fillId="3" borderId="38" xfId="0" applyNumberFormat="1" applyFont="1" applyFill="1" applyBorder="1" applyAlignment="1">
      <alignment vertical="top" wrapText="1"/>
    </xf>
    <xf numFmtId="1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" borderId="39" xfId="0" applyFont="1" applyFill="1" applyBorder="1" applyAlignment="1">
      <alignment horizontal="left" vertical="top"/>
    </xf>
    <xf numFmtId="0" fontId="2" fillId="3" borderId="40" xfId="0" applyFont="1" applyFill="1" applyBorder="1" applyAlignment="1">
      <alignment horizontal="center" vertical="top" wrapText="1"/>
    </xf>
    <xf numFmtId="0" fontId="2" fillId="3" borderId="40" xfId="0" applyFont="1" applyFill="1" applyBorder="1" applyAlignment="1">
      <alignment vertical="top" wrapText="1"/>
    </xf>
    <xf numFmtId="49" fontId="2" fillId="3" borderId="40" xfId="0" applyNumberFormat="1" applyFont="1" applyFill="1" applyBorder="1" applyAlignment="1">
      <alignment vertical="top" wrapText="1"/>
    </xf>
    <xf numFmtId="49" fontId="2" fillId="3" borderId="40" xfId="0" applyNumberFormat="1" applyFont="1" applyFill="1" applyBorder="1" applyAlignment="1">
      <alignment horizontal="center" vertical="top" wrapText="1"/>
    </xf>
    <xf numFmtId="1" fontId="2" fillId="3" borderId="40" xfId="0" applyNumberFormat="1" applyFont="1" applyFill="1" applyBorder="1" applyAlignment="1">
      <alignment vertical="top" wrapText="1"/>
    </xf>
    <xf numFmtId="1" fontId="2" fillId="3" borderId="41" xfId="0" applyNumberFormat="1" applyFont="1" applyFill="1" applyBorder="1" applyAlignment="1">
      <alignment vertical="top" wrapText="1"/>
    </xf>
    <xf numFmtId="49" fontId="4" fillId="0" borderId="14" xfId="0" applyNumberFormat="1" applyFont="1" applyBorder="1" applyAlignment="1">
      <alignment horizontal="right"/>
    </xf>
    <xf numFmtId="0" fontId="2" fillId="33" borderId="21" xfId="0" applyFont="1" applyFill="1" applyBorder="1" applyAlignment="1">
      <alignment vertical="top" wrapText="1"/>
    </xf>
    <xf numFmtId="165" fontId="4" fillId="32" borderId="10" xfId="0" applyNumberFormat="1" applyFont="1" applyFill="1" applyBorder="1" applyAlignment="1">
      <alignment horizontal="right"/>
    </xf>
    <xf numFmtId="0" fontId="0" fillId="0" borderId="21" xfId="0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32" borderId="10" xfId="0" applyFont="1" applyFill="1" applyBorder="1" applyAlignment="1">
      <alignment vertical="top"/>
    </xf>
    <xf numFmtId="9" fontId="0" fillId="32" borderId="10" xfId="57" applyFont="1" applyFill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0" fillId="32" borderId="0" xfId="0" applyFont="1" applyFill="1" applyAlignment="1">
      <alignment vertical="top" wrapText="1"/>
    </xf>
    <xf numFmtId="9" fontId="0" fillId="32" borderId="23" xfId="57" applyFont="1" applyFill="1" applyBorder="1" applyAlignment="1">
      <alignment vertical="top" wrapText="1"/>
    </xf>
    <xf numFmtId="9" fontId="0" fillId="32" borderId="17" xfId="57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vertical="top"/>
    </xf>
    <xf numFmtId="1" fontId="2" fillId="0" borderId="27" xfId="0" applyNumberFormat="1" applyFont="1" applyFill="1" applyBorder="1" applyAlignment="1">
      <alignment vertical="top"/>
    </xf>
    <xf numFmtId="1" fontId="2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7" fillId="32" borderId="17" xfId="0" applyFont="1" applyFill="1" applyBorder="1" applyAlignment="1">
      <alignment vertical="top"/>
    </xf>
    <xf numFmtId="9" fontId="0" fillId="0" borderId="32" xfId="57" applyFont="1" applyFill="1" applyBorder="1" applyAlignment="1">
      <alignment vertical="top" wrapText="1"/>
    </xf>
    <xf numFmtId="0" fontId="7" fillId="35" borderId="34" xfId="0" applyFont="1" applyFill="1" applyBorder="1" applyAlignment="1">
      <alignment horizontal="right" vertical="top"/>
    </xf>
    <xf numFmtId="10" fontId="0" fillId="34" borderId="10" xfId="57" applyNumberFormat="1" applyFont="1" applyFill="1" applyBorder="1" applyAlignment="1">
      <alignment vertical="top" wrapText="1"/>
    </xf>
    <xf numFmtId="0" fontId="0" fillId="34" borderId="26" xfId="0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7" fillId="35" borderId="35" xfId="0" applyFont="1" applyFill="1" applyBorder="1" applyAlignment="1">
      <alignment horizontal="right" vertical="top"/>
    </xf>
    <xf numFmtId="166" fontId="0" fillId="3" borderId="29" xfId="57" applyNumberFormat="1" applyFont="1" applyFill="1" applyBorder="1" applyAlignment="1">
      <alignment vertical="top" wrapText="1"/>
    </xf>
    <xf numFmtId="166" fontId="0" fillId="0" borderId="32" xfId="57" applyNumberFormat="1" applyFont="1" applyFill="1" applyBorder="1" applyAlignment="1">
      <alignment vertical="top" wrapText="1"/>
    </xf>
    <xf numFmtId="167" fontId="0" fillId="34" borderId="10" xfId="57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vertical="top" wrapText="1"/>
    </xf>
    <xf numFmtId="2" fontId="0" fillId="36" borderId="11" xfId="0" applyNumberFormat="1" applyFont="1" applyFill="1" applyBorder="1" applyAlignment="1">
      <alignment horizontal="center" vertical="center" wrapText="1"/>
    </xf>
    <xf numFmtId="2" fontId="0" fillId="36" borderId="12" xfId="0" applyNumberFormat="1" applyFont="1" applyFill="1" applyBorder="1" applyAlignment="1">
      <alignment horizontal="center" vertical="center" wrapText="1"/>
    </xf>
    <xf numFmtId="2" fontId="0" fillId="36" borderId="13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right"/>
    </xf>
    <xf numFmtId="2" fontId="4" fillId="37" borderId="15" xfId="0" applyNumberFormat="1" applyFont="1" applyFill="1" applyBorder="1" applyAlignment="1">
      <alignment horizontal="right"/>
    </xf>
    <xf numFmtId="0" fontId="2" fillId="37" borderId="14" xfId="0" applyFont="1" applyFill="1" applyBorder="1" applyAlignment="1">
      <alignment/>
    </xf>
    <xf numFmtId="2" fontId="2" fillId="37" borderId="10" xfId="0" applyNumberFormat="1" applyFont="1" applyFill="1" applyBorder="1" applyAlignment="1">
      <alignment horizontal="center"/>
    </xf>
    <xf numFmtId="165" fontId="2" fillId="37" borderId="10" xfId="0" applyNumberFormat="1" applyFont="1" applyFill="1" applyBorder="1" applyAlignment="1">
      <alignment horizontal="center"/>
    </xf>
    <xf numFmtId="165" fontId="2" fillId="37" borderId="15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right"/>
    </xf>
    <xf numFmtId="0" fontId="4" fillId="37" borderId="15" xfId="0" applyFont="1" applyFill="1" applyBorder="1" applyAlignment="1">
      <alignment horizontal="right"/>
    </xf>
    <xf numFmtId="2" fontId="2" fillId="37" borderId="15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center"/>
    </xf>
    <xf numFmtId="2" fontId="4" fillId="37" borderId="15" xfId="0" applyNumberFormat="1" applyFont="1" applyFill="1" applyBorder="1" applyAlignment="1">
      <alignment horizontal="center"/>
    </xf>
    <xf numFmtId="165" fontId="4" fillId="37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33" borderId="4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4" fillId="0" borderId="42" xfId="0" applyFont="1" applyBorder="1" applyAlignment="1">
      <alignment/>
    </xf>
    <xf numFmtId="2" fontId="0" fillId="36" borderId="4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37" borderId="45" xfId="0" applyFill="1" applyBorder="1" applyAlignment="1">
      <alignment/>
    </xf>
    <xf numFmtId="0" fontId="0" fillId="37" borderId="45" xfId="0" applyFill="1" applyBorder="1" applyAlignment="1">
      <alignment wrapText="1"/>
    </xf>
    <xf numFmtId="0" fontId="0" fillId="0" borderId="45" xfId="0" applyBorder="1" applyAlignment="1">
      <alignment horizontal="left"/>
    </xf>
    <xf numFmtId="0" fontId="0" fillId="37" borderId="45" xfId="0" applyFill="1" applyBorder="1" applyAlignment="1">
      <alignment horizontal="left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ludlam\LOCALS~1\Temp\RBSP_EFW_SYS_005D_Telemetry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-05-05"/>
      <sheetName val="DFB_Data"/>
    </sheetNames>
    <sheetDataSet>
      <sheetData sheetId="1">
        <row r="4">
          <cell r="A4" t="str">
            <v>E_SVY</v>
          </cell>
          <cell r="AB4">
            <v>1024</v>
          </cell>
        </row>
        <row r="5">
          <cell r="A5" t="str">
            <v>V_SVY</v>
          </cell>
          <cell r="AB5">
            <v>2048</v>
          </cell>
        </row>
        <row r="6">
          <cell r="A6" t="str">
            <v>VAX_SVY</v>
          </cell>
          <cell r="AB6">
            <v>0</v>
          </cell>
        </row>
        <row r="8">
          <cell r="A8" t="str">
            <v>SPEC</v>
          </cell>
          <cell r="AB8">
            <v>480</v>
          </cell>
        </row>
        <row r="9">
          <cell r="A9" t="str">
            <v>XSPEC</v>
          </cell>
          <cell r="AB9">
            <v>480</v>
          </cell>
        </row>
        <row r="11">
          <cell r="A11" t="str">
            <v>SOL1</v>
          </cell>
          <cell r="AB11">
            <v>32</v>
          </cell>
        </row>
        <row r="13">
          <cell r="A13" t="str">
            <v>FB</v>
          </cell>
          <cell r="AB13">
            <v>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14.421875" style="0" customWidth="1"/>
    <col min="2" max="4" width="10.140625" style="0" customWidth="1"/>
    <col min="5" max="5" width="10.140625" style="0" hidden="1" customWidth="1"/>
    <col min="6" max="6" width="39.421875" style="0" hidden="1" customWidth="1"/>
    <col min="7" max="7" width="85.7109375" style="0" customWidth="1"/>
  </cols>
  <sheetData>
    <row r="1" spans="1:6" s="2" customFormat="1" ht="18">
      <c r="A1" s="2" t="s">
        <v>0</v>
      </c>
      <c r="F1" s="2" t="s">
        <v>1</v>
      </c>
    </row>
    <row r="3" ht="13.5" thickBot="1">
      <c r="A3" s="1" t="s">
        <v>2</v>
      </c>
    </row>
    <row r="4" spans="1:7" ht="25.5">
      <c r="A4" s="236" t="s">
        <v>16</v>
      </c>
      <c r="B4" s="237" t="s">
        <v>31</v>
      </c>
      <c r="C4" s="237" t="s">
        <v>27</v>
      </c>
      <c r="D4" s="238" t="s">
        <v>28</v>
      </c>
      <c r="F4" s="253" t="s">
        <v>18</v>
      </c>
      <c r="G4" s="256" t="s">
        <v>237</v>
      </c>
    </row>
    <row r="5" spans="1:7" ht="12.75">
      <c r="A5" s="242" t="s">
        <v>15</v>
      </c>
      <c r="B5" s="243">
        <f>B6+B16+B13</f>
        <v>6.777</v>
      </c>
      <c r="C5" s="243">
        <f>B5*3600*24/1000000</f>
        <v>0.5855328000000001</v>
      </c>
      <c r="D5" s="248">
        <f>C5*7</f>
        <v>4.0987296</v>
      </c>
      <c r="F5" s="254"/>
      <c r="G5" s="258"/>
    </row>
    <row r="6" spans="1:7" ht="12.75">
      <c r="A6" s="239" t="s">
        <v>176</v>
      </c>
      <c r="B6" s="251">
        <f>SUM(B7:B12)</f>
        <v>6.468</v>
      </c>
      <c r="C6" s="240"/>
      <c r="D6" s="241"/>
      <c r="F6" s="254"/>
      <c r="G6" s="258"/>
    </row>
    <row r="7" spans="1:7" ht="12.75">
      <c r="A7" s="18" t="str">
        <f>'DFB Data 2009-08-27'!A4</f>
        <v>E_SVY</v>
      </c>
      <c r="B7" s="252">
        <f>3088/2/1000</f>
        <v>1.544</v>
      </c>
      <c r="C7" s="20"/>
      <c r="D7" s="21"/>
      <c r="F7" s="255"/>
      <c r="G7" s="260" t="s">
        <v>238</v>
      </c>
    </row>
    <row r="8" spans="1:7" ht="12.75">
      <c r="A8" s="18" t="str">
        <f>'DFB Data 2009-08-27'!A5</f>
        <v>V_SVY</v>
      </c>
      <c r="B8" s="252">
        <f>3088/1000/2</f>
        <v>1.544</v>
      </c>
      <c r="C8" s="20"/>
      <c r="D8" s="21"/>
      <c r="F8" s="255"/>
      <c r="G8" s="260" t="s">
        <v>244</v>
      </c>
    </row>
    <row r="9" spans="1:7" ht="12.75">
      <c r="A9" s="18" t="str">
        <f>'DFB Data 2009-08-27'!A6</f>
        <v>MAG_SVY</v>
      </c>
      <c r="B9" s="252">
        <v>0</v>
      </c>
      <c r="C9" s="20"/>
      <c r="D9" s="21"/>
      <c r="F9" s="255"/>
      <c r="G9" s="260" t="s">
        <v>239</v>
      </c>
    </row>
    <row r="10" spans="1:7" ht="12.75">
      <c r="A10" s="18" t="str">
        <f>'DFB Data 2009-08-27'!A8</f>
        <v>SPEC</v>
      </c>
      <c r="B10" s="252">
        <v>0.9</v>
      </c>
      <c r="C10" s="20"/>
      <c r="D10" s="21"/>
      <c r="F10" s="255"/>
      <c r="G10" s="260" t="s">
        <v>245</v>
      </c>
    </row>
    <row r="11" spans="1:7" ht="12.75">
      <c r="A11" s="208" t="str">
        <f>'DFB Data 2009-08-27'!A9</f>
        <v>XSPEC</v>
      </c>
      <c r="B11" s="252">
        <v>1.57</v>
      </c>
      <c r="C11" s="20"/>
      <c r="D11" s="21"/>
      <c r="F11" s="255"/>
      <c r="G11" s="260" t="s">
        <v>241</v>
      </c>
    </row>
    <row r="12" spans="1:7" ht="12.75">
      <c r="A12" s="18" t="str">
        <f>'DFB Data 2009-08-27'!A13</f>
        <v>FB</v>
      </c>
      <c r="B12" s="252">
        <v>0.91</v>
      </c>
      <c r="C12" s="20"/>
      <c r="D12" s="21"/>
      <c r="F12" s="255"/>
      <c r="G12" s="260" t="s">
        <v>240</v>
      </c>
    </row>
    <row r="13" spans="1:7" ht="12.75">
      <c r="A13" s="239" t="s">
        <v>177</v>
      </c>
      <c r="B13" s="249">
        <v>0.035</v>
      </c>
      <c r="C13" s="246"/>
      <c r="D13" s="247"/>
      <c r="F13" s="255"/>
      <c r="G13" s="261"/>
    </row>
    <row r="14" spans="1:7" ht="12.75">
      <c r="A14" s="18" t="s">
        <v>21</v>
      </c>
      <c r="B14" s="252">
        <v>0.03</v>
      </c>
      <c r="C14" s="20"/>
      <c r="D14" s="21"/>
      <c r="F14" s="255"/>
      <c r="G14" s="260" t="s">
        <v>242</v>
      </c>
    </row>
    <row r="15" spans="1:7" ht="12.75">
      <c r="A15" s="18" t="s">
        <v>22</v>
      </c>
      <c r="B15" s="252">
        <v>0.01</v>
      </c>
      <c r="C15" s="20"/>
      <c r="D15" s="21"/>
      <c r="F15" s="255"/>
      <c r="G15" s="260" t="s">
        <v>243</v>
      </c>
    </row>
    <row r="16" spans="1:7" ht="12.75">
      <c r="A16" s="239" t="s">
        <v>19</v>
      </c>
      <c r="B16" s="251">
        <v>0.274</v>
      </c>
      <c r="C16" s="249">
        <f>B16*3600*24/1000000</f>
        <v>0.023673600000000003</v>
      </c>
      <c r="D16" s="250">
        <f>C16*7</f>
        <v>0.1657152</v>
      </c>
      <c r="F16" s="255"/>
      <c r="G16" s="258"/>
    </row>
    <row r="17" spans="1:7" ht="38.25">
      <c r="A17" s="242" t="s">
        <v>14</v>
      </c>
      <c r="B17" s="243">
        <f>B18-B5</f>
        <v>5.225314814814815</v>
      </c>
      <c r="C17" s="244">
        <f>B17*3600*24/1000000</f>
        <v>0.45146719999999996</v>
      </c>
      <c r="D17" s="245">
        <f>C17*7</f>
        <v>3.1602704</v>
      </c>
      <c r="F17" s="254"/>
      <c r="G17" s="259" t="s">
        <v>246</v>
      </c>
    </row>
    <row r="18" spans="1:7" ht="13.5" thickBot="1">
      <c r="A18" s="12" t="s">
        <v>13</v>
      </c>
      <c r="B18" s="13">
        <f>C18*1000*1000/24/3600</f>
        <v>12.002314814814815</v>
      </c>
      <c r="C18" s="29">
        <f>B20</f>
        <v>1.037</v>
      </c>
      <c r="D18" s="30">
        <f>C18*7</f>
        <v>7.2589999999999995</v>
      </c>
      <c r="F18" s="254"/>
      <c r="G18" s="257"/>
    </row>
    <row r="19" spans="1:4" ht="12.75">
      <c r="A19" s="5"/>
      <c r="B19" s="17"/>
      <c r="C19" s="4"/>
      <c r="D19" s="4"/>
    </row>
    <row r="20" spans="1:4" ht="12.75">
      <c r="A20" t="s">
        <v>29</v>
      </c>
      <c r="B20">
        <v>1.037</v>
      </c>
      <c r="C20" t="s">
        <v>30</v>
      </c>
      <c r="D20" s="4"/>
    </row>
    <row r="21" spans="1:3" ht="12.75">
      <c r="A21" t="s">
        <v>23</v>
      </c>
      <c r="B21" s="16">
        <v>10</v>
      </c>
      <c r="C21" t="s">
        <v>24</v>
      </c>
    </row>
    <row r="23" ht="12.75">
      <c r="A23" t="s">
        <v>175</v>
      </c>
    </row>
    <row r="24" ht="12.75">
      <c r="A24" t="s">
        <v>236</v>
      </c>
    </row>
    <row r="25" ht="12.75">
      <c r="A25" s="262" t="s">
        <v>247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PageLayoutView="0" workbookViewId="0" topLeftCell="O7">
      <selection activeCell="A1" sqref="A1"/>
    </sheetView>
  </sheetViews>
  <sheetFormatPr defaultColWidth="12.7109375" defaultRowHeight="12.75"/>
  <cols>
    <col min="1" max="1" width="8.8515625" style="196" customWidth="1"/>
    <col min="2" max="2" width="4.421875" style="197" customWidth="1"/>
    <col min="3" max="3" width="15.140625" style="38" customWidth="1"/>
    <col min="4" max="4" width="13.140625" style="38" customWidth="1"/>
    <col min="5" max="5" width="7.140625" style="38" customWidth="1"/>
    <col min="6" max="6" width="6.140625" style="38" customWidth="1"/>
    <col min="7" max="7" width="15.00390625" style="38" customWidth="1"/>
    <col min="8" max="9" width="18.421875" style="38" customWidth="1"/>
    <col min="10" max="12" width="9.00390625" style="38" customWidth="1"/>
    <col min="13" max="13" width="9.00390625" style="198" customWidth="1"/>
    <col min="14" max="14" width="9.00390625" style="38" customWidth="1"/>
    <col min="15" max="16" width="9.00390625" style="198" customWidth="1"/>
    <col min="17" max="17" width="9.00390625" style="38" customWidth="1"/>
    <col min="18" max="19" width="11.7109375" style="197" customWidth="1"/>
    <col min="20" max="20" width="11.7109375" style="200" customWidth="1"/>
    <col min="21" max="21" width="25.8515625" style="38" customWidth="1"/>
    <col min="22" max="28" width="8.28125" style="38" customWidth="1"/>
    <col min="29" max="29" width="2.421875" style="143" customWidth="1"/>
    <col min="30" max="30" width="8.140625" style="38" customWidth="1"/>
    <col min="31" max="31" width="7.7109375" style="38" customWidth="1"/>
    <col min="32" max="32" width="7.8515625" style="38" customWidth="1"/>
    <col min="33" max="33" width="6.7109375" style="38" customWidth="1"/>
    <col min="34" max="16384" width="12.7109375" style="38" customWidth="1"/>
  </cols>
  <sheetData>
    <row r="1" spans="1:33" ht="51.75" thickBot="1">
      <c r="A1" s="31" t="s">
        <v>32</v>
      </c>
      <c r="B1" s="32" t="s">
        <v>178</v>
      </c>
      <c r="C1" s="32" t="s">
        <v>34</v>
      </c>
      <c r="D1" s="32" t="s">
        <v>35</v>
      </c>
      <c r="E1" s="32" t="s">
        <v>36</v>
      </c>
      <c r="F1" s="32" t="s">
        <v>37</v>
      </c>
      <c r="G1" s="32" t="s">
        <v>38</v>
      </c>
      <c r="H1" s="32" t="s">
        <v>39</v>
      </c>
      <c r="I1" s="32" t="s">
        <v>40</v>
      </c>
      <c r="J1" s="32" t="s">
        <v>41</v>
      </c>
      <c r="K1" s="32" t="s">
        <v>42</v>
      </c>
      <c r="L1" s="32" t="s">
        <v>43</v>
      </c>
      <c r="M1" s="33" t="s">
        <v>44</v>
      </c>
      <c r="N1" s="32" t="s">
        <v>45</v>
      </c>
      <c r="O1" s="34" t="s">
        <v>46</v>
      </c>
      <c r="P1" s="34"/>
      <c r="Q1" s="34"/>
      <c r="R1" s="33" t="s">
        <v>47</v>
      </c>
      <c r="S1" s="33" t="s">
        <v>48</v>
      </c>
      <c r="T1" s="35" t="s">
        <v>49</v>
      </c>
      <c r="U1" s="32" t="s">
        <v>50</v>
      </c>
      <c r="V1" s="34"/>
      <c r="W1" s="34" t="s">
        <v>51</v>
      </c>
      <c r="X1" s="34" t="s">
        <v>52</v>
      </c>
      <c r="Y1" s="34" t="s">
        <v>53</v>
      </c>
      <c r="Z1" s="34" t="s">
        <v>179</v>
      </c>
      <c r="AA1" s="34" t="s">
        <v>3</v>
      </c>
      <c r="AB1" s="211" t="s">
        <v>55</v>
      </c>
      <c r="AC1" s="36"/>
      <c r="AD1" s="37" t="s">
        <v>56</v>
      </c>
      <c r="AE1" s="37" t="s">
        <v>57</v>
      </c>
      <c r="AF1" s="37" t="s">
        <v>58</v>
      </c>
      <c r="AG1" s="37" t="s">
        <v>59</v>
      </c>
    </row>
    <row r="2" spans="1:33" ht="13.5" thickBot="1">
      <c r="A2" s="39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0"/>
      <c r="O2" s="42"/>
      <c r="P2" s="42"/>
      <c r="Q2" s="42"/>
      <c r="R2" s="41"/>
      <c r="S2" s="41"/>
      <c r="T2" s="43"/>
      <c r="U2" s="40"/>
      <c r="V2" s="42"/>
      <c r="W2" s="42"/>
      <c r="X2" s="42"/>
      <c r="Y2" s="42"/>
      <c r="Z2" s="42"/>
      <c r="AA2" s="42"/>
      <c r="AB2" s="44"/>
      <c r="AC2" s="36"/>
      <c r="AD2" s="37"/>
      <c r="AE2" s="37"/>
      <c r="AF2" s="37"/>
      <c r="AG2" s="37"/>
    </row>
    <row r="3" spans="1:33" s="52" customFormat="1" ht="12.75">
      <c r="A3" s="45" t="s">
        <v>61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6"/>
      <c r="O3" s="48"/>
      <c r="P3" s="48"/>
      <c r="Q3" s="48"/>
      <c r="R3" s="47"/>
      <c r="S3" s="47"/>
      <c r="T3" s="46"/>
      <c r="U3" s="46"/>
      <c r="V3" s="48"/>
      <c r="W3" s="48"/>
      <c r="X3" s="48"/>
      <c r="Y3" s="48"/>
      <c r="Z3" s="48"/>
      <c r="AA3" s="48"/>
      <c r="AB3" s="49"/>
      <c r="AC3" s="50"/>
      <c r="AD3" s="51"/>
      <c r="AE3" s="51"/>
      <c r="AF3" s="51"/>
      <c r="AG3" s="51"/>
    </row>
    <row r="4" spans="1:33" ht="36.75">
      <c r="A4" s="53" t="s">
        <v>62</v>
      </c>
      <c r="B4" s="54">
        <v>43</v>
      </c>
      <c r="C4" s="212" t="s">
        <v>232</v>
      </c>
      <c r="D4" s="75" t="s">
        <v>73</v>
      </c>
      <c r="E4" s="55">
        <v>3</v>
      </c>
      <c r="F4" s="55">
        <v>3</v>
      </c>
      <c r="G4" s="55" t="s">
        <v>180</v>
      </c>
      <c r="H4" s="55" t="s">
        <v>66</v>
      </c>
      <c r="I4" s="55"/>
      <c r="J4" s="213" t="s">
        <v>4</v>
      </c>
      <c r="K4" s="213" t="s">
        <v>67</v>
      </c>
      <c r="L4" s="213"/>
      <c r="M4" s="58" t="s">
        <v>68</v>
      </c>
      <c r="N4" s="54" t="s">
        <v>69</v>
      </c>
      <c r="O4" s="55"/>
      <c r="P4" s="55"/>
      <c r="Q4" s="55"/>
      <c r="R4" s="58">
        <v>1</v>
      </c>
      <c r="S4" s="58" t="s">
        <v>70</v>
      </c>
      <c r="T4" s="59">
        <v>32</v>
      </c>
      <c r="U4" s="55"/>
      <c r="V4" s="55"/>
      <c r="W4" s="55">
        <v>16</v>
      </c>
      <c r="X4" s="55"/>
      <c r="Y4" s="55"/>
      <c r="Z4" s="60">
        <f>E4*T4*W4</f>
        <v>1536</v>
      </c>
      <c r="AA4" s="214">
        <v>1</v>
      </c>
      <c r="AB4" s="62">
        <f>Z4*AA4</f>
        <v>1536</v>
      </c>
      <c r="AC4" s="63"/>
      <c r="AD4" s="55">
        <f>Z4/8</f>
        <v>192</v>
      </c>
      <c r="AE4" s="55">
        <v>3088</v>
      </c>
      <c r="AF4" s="64">
        <f>1/((AE4-16)/AD4)</f>
        <v>0.0625</v>
      </c>
      <c r="AG4" s="65">
        <f>1/AF4</f>
        <v>16</v>
      </c>
    </row>
    <row r="5" spans="1:33" ht="48.75">
      <c r="A5" s="53" t="s">
        <v>71</v>
      </c>
      <c r="B5" s="54">
        <v>44</v>
      </c>
      <c r="C5" s="215" t="s">
        <v>233</v>
      </c>
      <c r="D5" s="55" t="s">
        <v>73</v>
      </c>
      <c r="E5" s="55">
        <v>6</v>
      </c>
      <c r="F5" s="55">
        <v>6</v>
      </c>
      <c r="G5" s="55" t="s">
        <v>181</v>
      </c>
      <c r="H5" s="55" t="s">
        <v>66</v>
      </c>
      <c r="I5" s="55"/>
      <c r="J5" s="213" t="s">
        <v>4</v>
      </c>
      <c r="K5" s="216" t="s">
        <v>75</v>
      </c>
      <c r="L5" s="216"/>
      <c r="M5" s="58" t="s">
        <v>182</v>
      </c>
      <c r="N5" s="54" t="s">
        <v>7</v>
      </c>
      <c r="O5" s="55"/>
      <c r="P5" s="55"/>
      <c r="Q5" s="55"/>
      <c r="R5" s="58" t="s">
        <v>78</v>
      </c>
      <c r="S5" s="58" t="s">
        <v>70</v>
      </c>
      <c r="T5" s="59">
        <v>32</v>
      </c>
      <c r="U5" s="55" t="s">
        <v>79</v>
      </c>
      <c r="V5" s="55"/>
      <c r="W5" s="55">
        <v>16</v>
      </c>
      <c r="X5" s="55"/>
      <c r="Y5" s="55"/>
      <c r="Z5" s="60">
        <f>E5*T5*W5</f>
        <v>3072</v>
      </c>
      <c r="AA5" s="214">
        <v>1</v>
      </c>
      <c r="AB5" s="62">
        <f>Z5*AA5</f>
        <v>3072</v>
      </c>
      <c r="AC5" s="63"/>
      <c r="AD5" s="55">
        <f>Z5/8</f>
        <v>384</v>
      </c>
      <c r="AE5" s="55">
        <v>3088</v>
      </c>
      <c r="AF5" s="64">
        <f>1/((AE5-16)/AD5)</f>
        <v>0.125</v>
      </c>
      <c r="AG5" s="65">
        <f>1/AF5</f>
        <v>8</v>
      </c>
    </row>
    <row r="6" spans="1:33" ht="36.75" thickBot="1">
      <c r="A6" s="53" t="s">
        <v>183</v>
      </c>
      <c r="B6" s="54">
        <v>45</v>
      </c>
      <c r="C6" s="215" t="s">
        <v>184</v>
      </c>
      <c r="D6" s="55" t="s">
        <v>73</v>
      </c>
      <c r="E6" s="55">
        <v>3</v>
      </c>
      <c r="F6" s="55">
        <v>3</v>
      </c>
      <c r="G6" s="55" t="s">
        <v>185</v>
      </c>
      <c r="H6" s="55" t="s">
        <v>66</v>
      </c>
      <c r="I6" s="55"/>
      <c r="J6" s="55" t="s">
        <v>17</v>
      </c>
      <c r="K6" s="55" t="s">
        <v>186</v>
      </c>
      <c r="L6" s="55"/>
      <c r="M6" s="58" t="s">
        <v>187</v>
      </c>
      <c r="N6" s="67"/>
      <c r="O6" s="55"/>
      <c r="P6" s="55"/>
      <c r="Q6" s="55"/>
      <c r="R6" s="58" t="s">
        <v>78</v>
      </c>
      <c r="S6" s="58" t="s">
        <v>70</v>
      </c>
      <c r="T6" s="59">
        <v>64</v>
      </c>
      <c r="U6" s="55"/>
      <c r="V6" s="55"/>
      <c r="W6" s="55">
        <v>16</v>
      </c>
      <c r="X6" s="55"/>
      <c r="Y6" s="55"/>
      <c r="Z6" s="60">
        <f>E6*T6*W6</f>
        <v>3072</v>
      </c>
      <c r="AA6" s="214">
        <v>1</v>
      </c>
      <c r="AB6" s="62">
        <f>Z6*AA6</f>
        <v>3072</v>
      </c>
      <c r="AC6" s="63"/>
      <c r="AD6" s="55">
        <f>Z6/8</f>
        <v>384</v>
      </c>
      <c r="AE6" s="55">
        <v>3088</v>
      </c>
      <c r="AF6" s="64">
        <f>1/((AE6-16)/AD6)</f>
        <v>0.125</v>
      </c>
      <c r="AG6" s="65">
        <f>1/AF6</f>
        <v>8</v>
      </c>
    </row>
    <row r="7" spans="1:33" s="52" customFormat="1" ht="12.75">
      <c r="A7" s="45" t="s">
        <v>83</v>
      </c>
      <c r="B7" s="46"/>
      <c r="C7" s="48"/>
      <c r="D7" s="48"/>
      <c r="E7" s="48"/>
      <c r="F7" s="48"/>
      <c r="G7" s="48"/>
      <c r="H7" s="48"/>
      <c r="I7" s="48"/>
      <c r="J7" s="48"/>
      <c r="K7" s="48"/>
      <c r="L7" s="48"/>
      <c r="M7" s="47"/>
      <c r="N7" s="46"/>
      <c r="O7" s="48"/>
      <c r="P7" s="48"/>
      <c r="Q7" s="48"/>
      <c r="R7" s="47"/>
      <c r="S7" s="47"/>
      <c r="T7" s="46"/>
      <c r="U7" s="48"/>
      <c r="V7" s="48"/>
      <c r="W7" s="48"/>
      <c r="X7" s="48"/>
      <c r="Y7" s="48"/>
      <c r="Z7" s="68"/>
      <c r="AA7" s="69"/>
      <c r="AB7" s="70"/>
      <c r="AC7" s="71"/>
      <c r="AD7" s="72"/>
      <c r="AE7" s="72"/>
      <c r="AF7" s="73"/>
      <c r="AG7" s="74"/>
    </row>
    <row r="8" spans="1:33" ht="115.5" customHeight="1">
      <c r="A8" s="53" t="s">
        <v>84</v>
      </c>
      <c r="B8" s="54" t="s">
        <v>85</v>
      </c>
      <c r="C8" s="212" t="s">
        <v>234</v>
      </c>
      <c r="D8" s="75" t="s">
        <v>188</v>
      </c>
      <c r="E8" s="55">
        <v>4</v>
      </c>
      <c r="F8" s="55">
        <v>8</v>
      </c>
      <c r="G8" s="217" t="s">
        <v>189</v>
      </c>
      <c r="H8" s="55" t="s">
        <v>89</v>
      </c>
      <c r="I8" s="55" t="s">
        <v>90</v>
      </c>
      <c r="J8" s="213" t="s">
        <v>8</v>
      </c>
      <c r="K8" s="216" t="s">
        <v>91</v>
      </c>
      <c r="L8" s="213" t="s">
        <v>10</v>
      </c>
      <c r="M8" s="76" t="s">
        <v>92</v>
      </c>
      <c r="N8" s="76" t="s">
        <v>92</v>
      </c>
      <c r="O8" s="54" t="s">
        <v>190</v>
      </c>
      <c r="P8" s="54" t="s">
        <v>191</v>
      </c>
      <c r="Q8" s="54" t="s">
        <v>192</v>
      </c>
      <c r="R8" s="58" t="s">
        <v>96</v>
      </c>
      <c r="S8" s="58" t="s">
        <v>133</v>
      </c>
      <c r="T8" s="77">
        <f>0.125</f>
        <v>0.125</v>
      </c>
      <c r="U8" s="75" t="s">
        <v>193</v>
      </c>
      <c r="V8" s="55"/>
      <c r="W8" s="55">
        <v>8</v>
      </c>
      <c r="X8" s="55">
        <v>64</v>
      </c>
      <c r="Y8" s="78" t="s">
        <v>194</v>
      </c>
      <c r="Z8" s="60">
        <f>E8*T8*W8*X8</f>
        <v>256</v>
      </c>
      <c r="AA8" s="214">
        <v>1</v>
      </c>
      <c r="AB8" s="62">
        <f>Z8*AA8</f>
        <v>256</v>
      </c>
      <c r="AC8" s="63"/>
      <c r="AD8" s="55">
        <f>Z8/8</f>
        <v>32</v>
      </c>
      <c r="AE8" s="55">
        <v>3088</v>
      </c>
      <c r="AF8" s="64">
        <f>1/((AE8-16)/AD8)</f>
        <v>0.010416666666666666</v>
      </c>
      <c r="AG8" s="65">
        <f>1/AF8</f>
        <v>96</v>
      </c>
    </row>
    <row r="9" spans="1:33" ht="75" customHeight="1" thickBot="1">
      <c r="A9" s="79" t="s">
        <v>100</v>
      </c>
      <c r="B9" s="80" t="s">
        <v>101</v>
      </c>
      <c r="C9" s="215" t="s">
        <v>235</v>
      </c>
      <c r="D9" s="82" t="s">
        <v>195</v>
      </c>
      <c r="E9" s="83" t="s">
        <v>196</v>
      </c>
      <c r="F9" s="83" t="s">
        <v>97</v>
      </c>
      <c r="G9" s="81" t="s">
        <v>197</v>
      </c>
      <c r="H9" s="81" t="s">
        <v>106</v>
      </c>
      <c r="I9" s="81"/>
      <c r="J9" s="213" t="s">
        <v>8</v>
      </c>
      <c r="K9" s="213" t="s">
        <v>9</v>
      </c>
      <c r="L9" s="213" t="s">
        <v>107</v>
      </c>
      <c r="M9" s="81" t="s">
        <v>108</v>
      </c>
      <c r="N9" s="81" t="s">
        <v>109</v>
      </c>
      <c r="O9" s="84" t="s">
        <v>198</v>
      </c>
      <c r="P9" s="84" t="s">
        <v>199</v>
      </c>
      <c r="Q9" s="84" t="s">
        <v>200</v>
      </c>
      <c r="R9" s="80" t="s">
        <v>96</v>
      </c>
      <c r="S9" s="80" t="s">
        <v>133</v>
      </c>
      <c r="T9" s="85">
        <f>1/8</f>
        <v>0.125</v>
      </c>
      <c r="U9" s="81" t="s">
        <v>201</v>
      </c>
      <c r="V9" s="86"/>
      <c r="W9" s="86">
        <v>32</v>
      </c>
      <c r="X9" s="86">
        <v>64</v>
      </c>
      <c r="Y9" s="78" t="s">
        <v>194</v>
      </c>
      <c r="Z9" s="88">
        <f>E9*T9*W9*X9</f>
        <v>512</v>
      </c>
      <c r="AA9" s="218">
        <v>1</v>
      </c>
      <c r="AB9" s="90">
        <f>Z9*AA9</f>
        <v>512</v>
      </c>
      <c r="AC9" s="63"/>
      <c r="AD9" s="55">
        <f>Z9/8</f>
        <v>64</v>
      </c>
      <c r="AE9" s="55">
        <v>3088</v>
      </c>
      <c r="AF9" s="64">
        <f>1/((AE9-16)/AD9)</f>
        <v>0.020833333333333332</v>
      </c>
      <c r="AG9" s="65">
        <f>1/AF9</f>
        <v>48</v>
      </c>
    </row>
    <row r="10" spans="1:33" s="52" customFormat="1" ht="12.75">
      <c r="A10" s="91" t="s">
        <v>114</v>
      </c>
      <c r="B10" s="47"/>
      <c r="C10" s="92"/>
      <c r="D10" s="92"/>
      <c r="E10" s="93"/>
      <c r="F10" s="93"/>
      <c r="G10" s="92"/>
      <c r="H10" s="92"/>
      <c r="I10" s="92"/>
      <c r="J10" s="92"/>
      <c r="K10" s="92"/>
      <c r="L10" s="92"/>
      <c r="M10" s="92"/>
      <c r="N10" s="92"/>
      <c r="O10" s="46"/>
      <c r="P10" s="46"/>
      <c r="Q10" s="46"/>
      <c r="R10" s="47"/>
      <c r="S10" s="47"/>
      <c r="T10" s="94"/>
      <c r="U10" s="92"/>
      <c r="V10" s="48"/>
      <c r="W10" s="48"/>
      <c r="X10" s="48"/>
      <c r="Y10" s="95"/>
      <c r="Z10" s="68"/>
      <c r="AA10" s="96"/>
      <c r="AB10" s="70"/>
      <c r="AC10" s="71"/>
      <c r="AD10" s="72"/>
      <c r="AE10" s="72"/>
      <c r="AF10" s="73"/>
      <c r="AG10" s="74"/>
    </row>
    <row r="11" spans="1:33" ht="39" thickBot="1">
      <c r="A11" s="97" t="s">
        <v>202</v>
      </c>
      <c r="B11" s="98" t="s">
        <v>116</v>
      </c>
      <c r="C11" s="99" t="s">
        <v>203</v>
      </c>
      <c r="D11" s="100" t="s">
        <v>204</v>
      </c>
      <c r="E11" s="101" t="s">
        <v>78</v>
      </c>
      <c r="F11" s="101" t="s">
        <v>78</v>
      </c>
      <c r="G11" s="99" t="s">
        <v>119</v>
      </c>
      <c r="H11" s="102" t="s">
        <v>70</v>
      </c>
      <c r="I11" s="99"/>
      <c r="J11" s="99"/>
      <c r="K11" s="99"/>
      <c r="L11" s="99"/>
      <c r="M11" s="99" t="s">
        <v>205</v>
      </c>
      <c r="N11" s="102"/>
      <c r="O11" s="103"/>
      <c r="P11" s="103"/>
      <c r="Q11" s="103"/>
      <c r="R11" s="102" t="s">
        <v>206</v>
      </c>
      <c r="S11" s="102" t="s">
        <v>196</v>
      </c>
      <c r="T11" s="104">
        <v>0.125</v>
      </c>
      <c r="U11" s="99" t="s">
        <v>122</v>
      </c>
      <c r="V11" s="103"/>
      <c r="W11" s="103">
        <f>4*16</f>
        <v>64</v>
      </c>
      <c r="X11" s="103"/>
      <c r="Y11" s="105"/>
      <c r="Z11" s="106">
        <f>E11*T11*W11</f>
        <v>8</v>
      </c>
      <c r="AA11" s="219">
        <v>1</v>
      </c>
      <c r="AB11" s="108">
        <f>Z11*AA11</f>
        <v>8</v>
      </c>
      <c r="AC11" s="63"/>
      <c r="AD11" s="55">
        <f>Z11/8</f>
        <v>1</v>
      </c>
      <c r="AE11" s="55">
        <v>3088</v>
      </c>
      <c r="AF11" s="64">
        <f>1/((AE11-16)/AD11)</f>
        <v>0.0003255208333333333</v>
      </c>
      <c r="AG11" s="65">
        <f>1/AF11</f>
        <v>3072</v>
      </c>
    </row>
    <row r="12" spans="1:33" s="224" customFormat="1" ht="12.75">
      <c r="A12" s="109" t="s">
        <v>123</v>
      </c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2"/>
      <c r="AC12" s="223"/>
      <c r="AD12" s="72"/>
      <c r="AE12" s="72"/>
      <c r="AF12" s="73"/>
      <c r="AG12" s="74"/>
    </row>
    <row r="13" spans="1:33" ht="114.75" customHeight="1" thickBot="1">
      <c r="A13" s="115" t="s">
        <v>124</v>
      </c>
      <c r="B13" s="98">
        <v>41</v>
      </c>
      <c r="C13" s="99" t="s">
        <v>207</v>
      </c>
      <c r="D13" s="116" t="s">
        <v>208</v>
      </c>
      <c r="E13" s="103">
        <v>2</v>
      </c>
      <c r="F13" s="103">
        <v>4</v>
      </c>
      <c r="G13" s="103" t="s">
        <v>209</v>
      </c>
      <c r="H13" s="103" t="s">
        <v>106</v>
      </c>
      <c r="I13" s="99" t="s">
        <v>92</v>
      </c>
      <c r="J13" s="225" t="s">
        <v>17</v>
      </c>
      <c r="K13" s="225" t="s">
        <v>127</v>
      </c>
      <c r="L13" s="225" t="s">
        <v>128</v>
      </c>
      <c r="M13" s="103"/>
      <c r="N13" s="103"/>
      <c r="O13" s="103" t="s">
        <v>210</v>
      </c>
      <c r="P13" s="103" t="s">
        <v>211</v>
      </c>
      <c r="Q13" s="103"/>
      <c r="R13" s="102" t="s">
        <v>131</v>
      </c>
      <c r="S13" s="102" t="s">
        <v>132</v>
      </c>
      <c r="T13" s="117" t="s">
        <v>133</v>
      </c>
      <c r="U13" s="55" t="s">
        <v>212</v>
      </c>
      <c r="V13" s="103"/>
      <c r="W13" s="103">
        <v>8</v>
      </c>
      <c r="X13" s="103">
        <v>7</v>
      </c>
      <c r="Y13" s="105">
        <v>7</v>
      </c>
      <c r="Z13" s="106">
        <f>E13*T13*W13*X13</f>
        <v>896</v>
      </c>
      <c r="AA13" s="219">
        <v>1</v>
      </c>
      <c r="AB13" s="108">
        <f>Z13*AA13</f>
        <v>896</v>
      </c>
      <c r="AC13" s="63"/>
      <c r="AD13" s="55">
        <f>Z13/8</f>
        <v>112</v>
      </c>
      <c r="AE13" s="55">
        <v>3088</v>
      </c>
      <c r="AF13" s="64">
        <f>1/((AE13-16)/AD13)</f>
        <v>0.036458333333333336</v>
      </c>
      <c r="AG13" s="65">
        <f>1/AF13</f>
        <v>27.428571428571427</v>
      </c>
    </row>
    <row r="14" spans="1:33" ht="13.5" thickBot="1">
      <c r="A14" s="118" t="s">
        <v>135</v>
      </c>
      <c r="B14" s="119"/>
      <c r="C14" s="120"/>
      <c r="D14" s="121"/>
      <c r="E14" s="121"/>
      <c r="F14" s="121"/>
      <c r="G14" s="121"/>
      <c r="H14" s="121"/>
      <c r="I14" s="120"/>
      <c r="J14" s="120"/>
      <c r="K14" s="120"/>
      <c r="L14" s="120"/>
      <c r="M14" s="121"/>
      <c r="N14" s="121"/>
      <c r="O14" s="121"/>
      <c r="P14" s="121"/>
      <c r="Q14" s="121"/>
      <c r="R14" s="122"/>
      <c r="S14" s="122"/>
      <c r="T14" s="123"/>
      <c r="U14" s="121"/>
      <c r="V14" s="121"/>
      <c r="W14" s="121"/>
      <c r="X14" s="121"/>
      <c r="Y14" s="124"/>
      <c r="Z14" s="125">
        <f>SUM(Z4:Z13)</f>
        <v>9352</v>
      </c>
      <c r="AA14" s="126"/>
      <c r="AB14" s="127">
        <f>SUM(AB4:AB13)</f>
        <v>9352</v>
      </c>
      <c r="AC14" s="128"/>
      <c r="AD14" s="129"/>
      <c r="AE14" s="129"/>
      <c r="AF14" s="130"/>
      <c r="AG14" s="131"/>
    </row>
    <row r="15" spans="1:33" s="143" customFormat="1" ht="13.5" thickBot="1">
      <c r="A15" s="132"/>
      <c r="B15" s="133"/>
      <c r="C15" s="134"/>
      <c r="D15" s="135"/>
      <c r="E15" s="136"/>
      <c r="F15" s="136"/>
      <c r="G15" s="136"/>
      <c r="H15" s="136"/>
      <c r="I15" s="134"/>
      <c r="J15" s="134"/>
      <c r="K15" s="134"/>
      <c r="L15" s="134"/>
      <c r="M15" s="136"/>
      <c r="N15" s="136"/>
      <c r="O15" s="136"/>
      <c r="P15" s="136"/>
      <c r="Q15" s="136"/>
      <c r="R15" s="137"/>
      <c r="S15" s="137"/>
      <c r="T15" s="138"/>
      <c r="U15" s="136"/>
      <c r="V15" s="136"/>
      <c r="W15" s="136"/>
      <c r="X15" s="136"/>
      <c r="Y15" s="139"/>
      <c r="Z15" s="140"/>
      <c r="AA15" s="226"/>
      <c r="AB15" s="142"/>
      <c r="AC15" s="63"/>
      <c r="AD15" s="72"/>
      <c r="AE15" s="72"/>
      <c r="AF15" s="73"/>
      <c r="AG15" s="74"/>
    </row>
    <row r="16" spans="1:33" s="52" customFormat="1" ht="12.75">
      <c r="A16" s="144" t="s">
        <v>136</v>
      </c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7"/>
      <c r="N16" s="145"/>
      <c r="O16" s="146"/>
      <c r="P16" s="146"/>
      <c r="Q16" s="146"/>
      <c r="R16" s="147"/>
      <c r="S16" s="147"/>
      <c r="T16" s="145"/>
      <c r="U16" s="146"/>
      <c r="V16" s="146"/>
      <c r="W16" s="146"/>
      <c r="X16" s="146"/>
      <c r="Y16" s="146"/>
      <c r="Z16" s="148"/>
      <c r="AA16" s="149"/>
      <c r="AB16" s="150"/>
      <c r="AC16" s="71"/>
      <c r="AD16" s="72"/>
      <c r="AE16" s="72"/>
      <c r="AF16" s="73"/>
      <c r="AG16" s="74"/>
    </row>
    <row r="17" spans="1:33" ht="38.25">
      <c r="A17" s="151" t="s">
        <v>137</v>
      </c>
      <c r="B17" s="152">
        <v>46</v>
      </c>
      <c r="C17" s="153" t="s">
        <v>213</v>
      </c>
      <c r="D17" s="153" t="s">
        <v>73</v>
      </c>
      <c r="E17" s="153">
        <v>3</v>
      </c>
      <c r="F17" s="153">
        <v>3</v>
      </c>
      <c r="G17" s="153" t="s">
        <v>180</v>
      </c>
      <c r="H17" s="153" t="s">
        <v>66</v>
      </c>
      <c r="I17" s="153"/>
      <c r="J17" s="227" t="s">
        <v>4</v>
      </c>
      <c r="K17" s="227" t="s">
        <v>139</v>
      </c>
      <c r="L17" s="227"/>
      <c r="M17" s="155" t="s">
        <v>68</v>
      </c>
      <c r="N17" s="152" t="s">
        <v>69</v>
      </c>
      <c r="O17" s="153"/>
      <c r="P17" s="153"/>
      <c r="Q17" s="153"/>
      <c r="R17" s="155">
        <v>1</v>
      </c>
      <c r="S17" s="155" t="s">
        <v>70</v>
      </c>
      <c r="T17" s="156">
        <v>512</v>
      </c>
      <c r="U17" s="153" t="s">
        <v>140</v>
      </c>
      <c r="V17" s="153"/>
      <c r="W17" s="153">
        <v>16</v>
      </c>
      <c r="X17" s="153"/>
      <c r="Y17" s="153"/>
      <c r="Z17" s="157">
        <f>E17*T17*W17</f>
        <v>24576</v>
      </c>
      <c r="AA17" s="228">
        <v>0.04</v>
      </c>
      <c r="AB17" s="159">
        <f>Z17*AA17</f>
        <v>983.04</v>
      </c>
      <c r="AC17" s="63"/>
      <c r="AD17" s="153">
        <f>Z17/8</f>
        <v>3072</v>
      </c>
      <c r="AE17" s="153">
        <v>3088</v>
      </c>
      <c r="AF17" s="160">
        <f>1/((AE17-16)/AD17)</f>
        <v>1</v>
      </c>
      <c r="AG17" s="161">
        <f>1/AF17</f>
        <v>1</v>
      </c>
    </row>
    <row r="18" spans="1:33" ht="63.75">
      <c r="A18" s="151" t="s">
        <v>141</v>
      </c>
      <c r="B18" s="152">
        <v>47</v>
      </c>
      <c r="C18" s="229" t="s">
        <v>214</v>
      </c>
      <c r="D18" s="230" t="s">
        <v>73</v>
      </c>
      <c r="E18" s="153">
        <v>6</v>
      </c>
      <c r="F18" s="153">
        <v>6</v>
      </c>
      <c r="G18" s="153" t="s">
        <v>215</v>
      </c>
      <c r="H18" s="153" t="s">
        <v>66</v>
      </c>
      <c r="I18" s="153"/>
      <c r="J18" s="231" t="s">
        <v>4</v>
      </c>
      <c r="K18" s="231" t="s">
        <v>145</v>
      </c>
      <c r="L18" s="155"/>
      <c r="M18" s="155" t="s">
        <v>182</v>
      </c>
      <c r="N18" s="152" t="s">
        <v>7</v>
      </c>
      <c r="O18" s="153"/>
      <c r="P18" s="153"/>
      <c r="Q18" s="153"/>
      <c r="R18" s="155" t="s">
        <v>78</v>
      </c>
      <c r="S18" s="155" t="s">
        <v>70</v>
      </c>
      <c r="T18" s="156">
        <v>512</v>
      </c>
      <c r="U18" s="153" t="s">
        <v>140</v>
      </c>
      <c r="V18" s="153"/>
      <c r="W18" s="153">
        <v>16</v>
      </c>
      <c r="X18" s="153"/>
      <c r="Y18" s="153"/>
      <c r="Z18" s="157">
        <f>E18*T18*W18</f>
        <v>49152</v>
      </c>
      <c r="AA18" s="228">
        <v>0.04</v>
      </c>
      <c r="AB18" s="159">
        <f>Z18*AA18</f>
        <v>1966.08</v>
      </c>
      <c r="AC18" s="63"/>
      <c r="AD18" s="153">
        <f>Z18/8</f>
        <v>6144</v>
      </c>
      <c r="AE18" s="153">
        <v>3088</v>
      </c>
      <c r="AF18" s="160">
        <f>1/((AE18-16)/AD18)</f>
        <v>2</v>
      </c>
      <c r="AG18" s="161">
        <f>1/AF18</f>
        <v>0.5</v>
      </c>
    </row>
    <row r="19" spans="1:33" ht="46.5" customHeight="1" thickBot="1">
      <c r="A19" s="164" t="s">
        <v>146</v>
      </c>
      <c r="B19" s="165">
        <v>48</v>
      </c>
      <c r="C19" s="166" t="s">
        <v>216</v>
      </c>
      <c r="D19" s="166" t="s">
        <v>73</v>
      </c>
      <c r="E19" s="166">
        <v>3</v>
      </c>
      <c r="F19" s="166">
        <v>3</v>
      </c>
      <c r="G19" s="166" t="s">
        <v>217</v>
      </c>
      <c r="H19" s="166" t="s">
        <v>149</v>
      </c>
      <c r="I19" s="166" t="s">
        <v>150</v>
      </c>
      <c r="J19" s="231" t="s">
        <v>17</v>
      </c>
      <c r="K19" s="231" t="s">
        <v>139</v>
      </c>
      <c r="L19" s="231" t="s">
        <v>11</v>
      </c>
      <c r="M19" s="167" t="s">
        <v>218</v>
      </c>
      <c r="N19" s="165" t="s">
        <v>151</v>
      </c>
      <c r="O19" s="166"/>
      <c r="P19" s="166"/>
      <c r="Q19" s="166"/>
      <c r="R19" s="167">
        <v>1</v>
      </c>
      <c r="S19" s="167" t="s">
        <v>70</v>
      </c>
      <c r="T19" s="168">
        <v>512</v>
      </c>
      <c r="U19" s="166" t="s">
        <v>140</v>
      </c>
      <c r="V19" s="166"/>
      <c r="W19" s="166">
        <v>16</v>
      </c>
      <c r="X19" s="166"/>
      <c r="Y19" s="166"/>
      <c r="Z19" s="169">
        <f>E19*T19*W19</f>
        <v>24576</v>
      </c>
      <c r="AA19" s="228">
        <v>0.04</v>
      </c>
      <c r="AB19" s="171">
        <f>Z19*AA19</f>
        <v>983.04</v>
      </c>
      <c r="AC19" s="63"/>
      <c r="AD19" s="153">
        <f>Z19/8</f>
        <v>3072</v>
      </c>
      <c r="AE19" s="153">
        <v>3088</v>
      </c>
      <c r="AF19" s="160">
        <f>1/((AE19-16)/AD19)</f>
        <v>1</v>
      </c>
      <c r="AG19" s="161">
        <f>1/AF19</f>
        <v>1</v>
      </c>
    </row>
    <row r="20" spans="1:33" ht="13.5" thickBot="1">
      <c r="A20" s="118" t="s">
        <v>152</v>
      </c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4"/>
      <c r="N20" s="172"/>
      <c r="O20" s="173"/>
      <c r="P20" s="173"/>
      <c r="Q20" s="173"/>
      <c r="R20" s="174"/>
      <c r="S20" s="174"/>
      <c r="T20" s="175"/>
      <c r="U20" s="173"/>
      <c r="V20" s="173"/>
      <c r="W20" s="173"/>
      <c r="X20" s="173"/>
      <c r="Y20" s="173"/>
      <c r="Z20" s="176">
        <f>SUM(Z17:Z19)</f>
        <v>98304</v>
      </c>
      <c r="AA20" s="232"/>
      <c r="AB20" s="178">
        <f>SUM(AB17:AB19)</f>
        <v>3932.16</v>
      </c>
      <c r="AC20" s="63"/>
      <c r="AD20" s="72"/>
      <c r="AE20" s="72"/>
      <c r="AF20" s="73"/>
      <c r="AG20" s="74"/>
    </row>
    <row r="21" spans="1:33" ht="13.5" thickBot="1">
      <c r="A21" s="132"/>
      <c r="B21" s="133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3"/>
      <c r="O21" s="136"/>
      <c r="P21" s="136"/>
      <c r="Q21" s="136"/>
      <c r="R21" s="137"/>
      <c r="S21" s="137"/>
      <c r="T21" s="179"/>
      <c r="U21" s="136"/>
      <c r="V21" s="136"/>
      <c r="W21" s="136"/>
      <c r="X21" s="136"/>
      <c r="Y21" s="136"/>
      <c r="Z21" s="180"/>
      <c r="AA21" s="233"/>
      <c r="AB21" s="142"/>
      <c r="AC21" s="63"/>
      <c r="AD21" s="72"/>
      <c r="AE21" s="72"/>
      <c r="AF21" s="73"/>
      <c r="AG21" s="74"/>
    </row>
    <row r="22" spans="1:33" s="52" customFormat="1" ht="12.75">
      <c r="A22" s="144" t="s">
        <v>153</v>
      </c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7"/>
      <c r="S22" s="147"/>
      <c r="T22" s="145"/>
      <c r="U22" s="146"/>
      <c r="V22" s="146"/>
      <c r="W22" s="146"/>
      <c r="X22" s="146"/>
      <c r="Y22" s="146"/>
      <c r="Z22" s="182"/>
      <c r="AA22" s="183"/>
      <c r="AB22" s="150"/>
      <c r="AC22" s="71"/>
      <c r="AD22" s="72"/>
      <c r="AE22" s="72"/>
      <c r="AF22" s="73"/>
      <c r="AG22" s="74"/>
    </row>
    <row r="23" spans="1:33" ht="109.5" customHeight="1">
      <c r="A23" s="151" t="s">
        <v>154</v>
      </c>
      <c r="B23" s="152">
        <v>49</v>
      </c>
      <c r="C23" s="153" t="s">
        <v>219</v>
      </c>
      <c r="D23" s="230" t="s">
        <v>220</v>
      </c>
      <c r="E23" s="153">
        <v>3</v>
      </c>
      <c r="F23" s="153">
        <v>5</v>
      </c>
      <c r="G23" s="153" t="s">
        <v>221</v>
      </c>
      <c r="H23" s="153" t="s">
        <v>106</v>
      </c>
      <c r="I23" s="153" t="s">
        <v>157</v>
      </c>
      <c r="J23" s="227" t="s">
        <v>4</v>
      </c>
      <c r="K23" s="227" t="s">
        <v>12</v>
      </c>
      <c r="L23" s="227"/>
      <c r="M23" s="184" t="s">
        <v>222</v>
      </c>
      <c r="N23" s="184" t="s">
        <v>223</v>
      </c>
      <c r="O23" s="153"/>
      <c r="P23" s="153"/>
      <c r="Q23" s="153"/>
      <c r="R23" s="155">
        <v>1</v>
      </c>
      <c r="S23" s="155" t="s">
        <v>70</v>
      </c>
      <c r="T23" s="156">
        <v>16384</v>
      </c>
      <c r="U23" s="153" t="s">
        <v>224</v>
      </c>
      <c r="V23" s="153" t="s">
        <v>160</v>
      </c>
      <c r="W23" s="153">
        <v>16</v>
      </c>
      <c r="X23" s="153"/>
      <c r="Y23" s="153"/>
      <c r="Z23" s="157">
        <f>E23*T23*W23</f>
        <v>786432</v>
      </c>
      <c r="AA23" s="234">
        <v>0.001</v>
      </c>
      <c r="AB23" s="159">
        <f>Z23*AA23</f>
        <v>786.432</v>
      </c>
      <c r="AC23" s="63"/>
      <c r="AD23" s="153">
        <f>Z23/8</f>
        <v>98304</v>
      </c>
      <c r="AE23" s="153">
        <v>3088</v>
      </c>
      <c r="AF23" s="160">
        <f>1/((AE23-16)/AD23)</f>
        <v>32</v>
      </c>
      <c r="AG23" s="161">
        <f>1/AF23</f>
        <v>0.03125</v>
      </c>
    </row>
    <row r="24" spans="1:33" ht="42" customHeight="1">
      <c r="A24" s="151" t="s">
        <v>161</v>
      </c>
      <c r="B24" s="152" t="s">
        <v>162</v>
      </c>
      <c r="C24" s="153" t="s">
        <v>225</v>
      </c>
      <c r="D24" s="153" t="s">
        <v>73</v>
      </c>
      <c r="E24" s="153">
        <v>6</v>
      </c>
      <c r="F24" s="153">
        <v>6</v>
      </c>
      <c r="G24" s="153" t="s">
        <v>163</v>
      </c>
      <c r="H24" s="153" t="s">
        <v>149</v>
      </c>
      <c r="I24" s="153"/>
      <c r="J24" s="231" t="s">
        <v>17</v>
      </c>
      <c r="K24" s="231" t="s">
        <v>12</v>
      </c>
      <c r="L24" s="231"/>
      <c r="M24" s="155" t="s">
        <v>226</v>
      </c>
      <c r="N24" s="152" t="s">
        <v>227</v>
      </c>
      <c r="O24" s="153"/>
      <c r="P24" s="153"/>
      <c r="Q24" s="153"/>
      <c r="R24" s="155">
        <v>1</v>
      </c>
      <c r="S24" s="155" t="s">
        <v>70</v>
      </c>
      <c r="T24" s="156">
        <v>16384</v>
      </c>
      <c r="U24" s="153" t="s">
        <v>140</v>
      </c>
      <c r="V24" s="153"/>
      <c r="W24" s="153">
        <v>16</v>
      </c>
      <c r="X24" s="153"/>
      <c r="Y24" s="153"/>
      <c r="Z24" s="157">
        <f>E24*T24*W24</f>
        <v>1572864</v>
      </c>
      <c r="AA24" s="234">
        <v>0.001</v>
      </c>
      <c r="AB24" s="159">
        <f>Z24*AA24</f>
        <v>1572.864</v>
      </c>
      <c r="AC24" s="63"/>
      <c r="AD24" s="153">
        <f>Z24/8</f>
        <v>196608</v>
      </c>
      <c r="AE24" s="153">
        <v>3088</v>
      </c>
      <c r="AF24" s="160">
        <f>1/((AE24-16)/AD24)</f>
        <v>64</v>
      </c>
      <c r="AG24" s="161">
        <f>1/AF24</f>
        <v>0.015625</v>
      </c>
    </row>
    <row r="25" spans="1:33" ht="54.75" customHeight="1" thickBot="1">
      <c r="A25" s="164" t="s">
        <v>166</v>
      </c>
      <c r="B25" s="165" t="s">
        <v>167</v>
      </c>
      <c r="C25" s="166" t="s">
        <v>228</v>
      </c>
      <c r="D25" s="235" t="s">
        <v>217</v>
      </c>
      <c r="E25" s="235">
        <v>3</v>
      </c>
      <c r="F25" s="166">
        <v>5</v>
      </c>
      <c r="G25" s="166" t="s">
        <v>229</v>
      </c>
      <c r="H25" s="166" t="s">
        <v>149</v>
      </c>
      <c r="I25" s="166" t="s">
        <v>150</v>
      </c>
      <c r="J25" s="166" t="s">
        <v>4</v>
      </c>
      <c r="K25" s="166" t="s">
        <v>230</v>
      </c>
      <c r="L25" s="166"/>
      <c r="M25" s="167" t="s">
        <v>231</v>
      </c>
      <c r="N25" s="165" t="s">
        <v>151</v>
      </c>
      <c r="O25" s="166"/>
      <c r="P25" s="166"/>
      <c r="Q25" s="166"/>
      <c r="R25" s="167">
        <v>1</v>
      </c>
      <c r="S25" s="167" t="s">
        <v>70</v>
      </c>
      <c r="T25" s="168">
        <v>16384</v>
      </c>
      <c r="U25" s="166" t="s">
        <v>140</v>
      </c>
      <c r="V25" s="166" t="s">
        <v>170</v>
      </c>
      <c r="W25" s="166">
        <v>16</v>
      </c>
      <c r="X25" s="166"/>
      <c r="Y25" s="166"/>
      <c r="Z25" s="186">
        <f>E25*T25*W25</f>
        <v>786432</v>
      </c>
      <c r="AA25" s="234">
        <v>0.001</v>
      </c>
      <c r="AB25" s="171">
        <f>Z25*AA25</f>
        <v>786.432</v>
      </c>
      <c r="AC25" s="63"/>
      <c r="AD25" s="153">
        <f>Z25/8</f>
        <v>98304</v>
      </c>
      <c r="AE25" s="153">
        <v>3088</v>
      </c>
      <c r="AF25" s="160">
        <f>1/((AE25-16)/AD25)</f>
        <v>32</v>
      </c>
      <c r="AG25" s="161">
        <f>1/AF25</f>
        <v>0.03125</v>
      </c>
    </row>
    <row r="26" spans="1:33" ht="13.5" thickBot="1">
      <c r="A26" s="187" t="s">
        <v>171</v>
      </c>
      <c r="B26" s="188"/>
      <c r="C26" s="189"/>
      <c r="D26" s="189"/>
      <c r="E26" s="189"/>
      <c r="F26" s="189"/>
      <c r="G26" s="189"/>
      <c r="H26" s="189"/>
      <c r="I26" s="190"/>
      <c r="J26" s="190"/>
      <c r="K26" s="190"/>
      <c r="L26" s="190"/>
      <c r="M26" s="191"/>
      <c r="N26" s="191"/>
      <c r="O26" s="191"/>
      <c r="P26" s="191"/>
      <c r="Q26" s="191"/>
      <c r="R26" s="188"/>
      <c r="S26" s="188"/>
      <c r="T26" s="188"/>
      <c r="U26" s="189"/>
      <c r="V26" s="189"/>
      <c r="W26" s="189"/>
      <c r="X26" s="189"/>
      <c r="Y26" s="189"/>
      <c r="Z26" s="192">
        <f>SUM(Z23:Z25)</f>
        <v>3145728</v>
      </c>
      <c r="AA26" s="189"/>
      <c r="AB26" s="193">
        <f>SUM(AB23:AB25)</f>
        <v>3145.728</v>
      </c>
      <c r="AC26" s="194"/>
      <c r="AD26" s="195"/>
      <c r="AE26" s="195"/>
      <c r="AF26" s="195"/>
      <c r="AG26" s="195"/>
    </row>
    <row r="27" spans="9:33" ht="13.5" thickBot="1">
      <c r="I27" s="198"/>
      <c r="J27" s="198"/>
      <c r="K27" s="198"/>
      <c r="L27" s="198"/>
      <c r="M27" s="199"/>
      <c r="N27" s="199"/>
      <c r="O27" s="199"/>
      <c r="P27" s="199"/>
      <c r="Q27" s="199"/>
      <c r="AD27" s="143"/>
      <c r="AE27" s="143"/>
      <c r="AF27" s="143"/>
      <c r="AG27" s="143"/>
    </row>
    <row r="28" spans="1:33" ht="13.5" thickBot="1">
      <c r="A28" s="201" t="s">
        <v>172</v>
      </c>
      <c r="B28" s="202"/>
      <c r="C28" s="203"/>
      <c r="D28" s="203"/>
      <c r="E28" s="203"/>
      <c r="F28" s="203"/>
      <c r="G28" s="203"/>
      <c r="H28" s="203"/>
      <c r="I28" s="204"/>
      <c r="J28" s="204"/>
      <c r="K28" s="204"/>
      <c r="L28" s="204"/>
      <c r="M28" s="205"/>
      <c r="N28" s="205"/>
      <c r="O28" s="205"/>
      <c r="P28" s="205"/>
      <c r="Q28" s="205"/>
      <c r="R28" s="202"/>
      <c r="S28" s="202"/>
      <c r="T28" s="202"/>
      <c r="U28" s="203"/>
      <c r="V28" s="203"/>
      <c r="W28" s="203"/>
      <c r="X28" s="203"/>
      <c r="Y28" s="203"/>
      <c r="Z28" s="206">
        <f>SUM(Z14,Z20,Z26)</f>
        <v>3253384</v>
      </c>
      <c r="AA28" s="203"/>
      <c r="AB28" s="207">
        <f>SUM(AB14,AB20,AB26)</f>
        <v>16429.888</v>
      </c>
      <c r="AC28" s="194"/>
      <c r="AD28" s="195"/>
      <c r="AE28" s="195"/>
      <c r="AF28" s="195"/>
      <c r="AG28" s="195"/>
    </row>
    <row r="29" spans="9:17" ht="12.75">
      <c r="I29" s="198"/>
      <c r="J29" s="198"/>
      <c r="K29" s="198"/>
      <c r="L29" s="198"/>
      <c r="M29" s="199"/>
      <c r="N29" s="199"/>
      <c r="O29" s="199"/>
      <c r="P29" s="199"/>
      <c r="Q29" s="199"/>
    </row>
    <row r="30" ht="25.5">
      <c r="AB30" s="38" t="s">
        <v>173</v>
      </c>
    </row>
  </sheetData>
  <sheetProtection/>
  <printOptions/>
  <pageMargins left="0.25" right="0.25" top="0.25" bottom="0.25" header="0.5" footer="0.5"/>
  <pageSetup fitToHeight="1" fitToWidth="1" horizontalDpi="600" verticalDpi="600" orientation="landscape" scale="70"/>
  <headerFooter alignWithMargins="0">
    <oddHeader>&amp;L&amp;F&amp;R&amp;D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7" sqref="A7:B13"/>
    </sheetView>
  </sheetViews>
  <sheetFormatPr defaultColWidth="9.140625" defaultRowHeight="12.75"/>
  <cols>
    <col min="1" max="1" width="14.421875" style="0" customWidth="1"/>
    <col min="2" max="5" width="10.140625" style="0" customWidth="1"/>
    <col min="6" max="6" width="39.421875" style="0" customWidth="1"/>
  </cols>
  <sheetData>
    <row r="1" spans="1:6" s="2" customFormat="1" ht="18">
      <c r="A1" s="2" t="s">
        <v>0</v>
      </c>
      <c r="F1" s="2" t="s">
        <v>1</v>
      </c>
    </row>
    <row r="3" ht="13.5" thickBot="1">
      <c r="A3" s="1" t="s">
        <v>2</v>
      </c>
    </row>
    <row r="4" spans="1:6" ht="25.5">
      <c r="A4" s="7" t="s">
        <v>16</v>
      </c>
      <c r="B4" s="8" t="s">
        <v>31</v>
      </c>
      <c r="C4" s="8" t="s">
        <v>27</v>
      </c>
      <c r="D4" s="9" t="s">
        <v>28</v>
      </c>
      <c r="F4" s="15" t="s">
        <v>18</v>
      </c>
    </row>
    <row r="5" spans="1:6" ht="12.75">
      <c r="A5" s="10" t="s">
        <v>15</v>
      </c>
      <c r="B5" s="6">
        <f>B6+B17+B14</f>
        <v>5.2452</v>
      </c>
      <c r="C5" s="6">
        <f>B5*3600*24/1000000</f>
        <v>0.4531852799999999</v>
      </c>
      <c r="D5" s="11">
        <f>C5*7</f>
        <v>3.1722969599999993</v>
      </c>
      <c r="F5" s="3"/>
    </row>
    <row r="6" spans="1:6" ht="12.75">
      <c r="A6" s="22" t="s">
        <v>176</v>
      </c>
      <c r="B6" s="210">
        <f>SUM(B7:B13)</f>
        <v>4.96</v>
      </c>
      <c r="C6" s="23"/>
      <c r="D6" s="24"/>
      <c r="F6" s="3"/>
    </row>
    <row r="7" spans="1:6" ht="12.75">
      <c r="A7" s="18" t="str">
        <f>'[1]DFB_Data'!A4</f>
        <v>E_SVY</v>
      </c>
      <c r="B7" s="19">
        <f>'[1]DFB_Data'!AB4/1000</f>
        <v>1.024</v>
      </c>
      <c r="C7" s="20"/>
      <c r="D7" s="21"/>
      <c r="F7" s="14" t="s">
        <v>174</v>
      </c>
    </row>
    <row r="8" spans="1:6" ht="12.75">
      <c r="A8" s="18" t="str">
        <f>'[1]DFB_Data'!A5</f>
        <v>V_SVY</v>
      </c>
      <c r="B8" s="19">
        <f>'[1]DFB_Data'!AB5/1000</f>
        <v>2.048</v>
      </c>
      <c r="C8" s="20"/>
      <c r="D8" s="21"/>
      <c r="F8" s="14" t="str">
        <f aca="true" t="shared" si="0" ref="F8:F13">F7</f>
        <v>LASP 04/25/08</v>
      </c>
    </row>
    <row r="9" spans="1:6" ht="12.75">
      <c r="A9" s="18" t="str">
        <f>'[1]DFB_Data'!A6</f>
        <v>VAX_SVY</v>
      </c>
      <c r="B9" s="19">
        <f>'[1]DFB_Data'!AB6/1000</f>
        <v>0</v>
      </c>
      <c r="C9" s="20"/>
      <c r="D9" s="21"/>
      <c r="F9" s="14" t="str">
        <f t="shared" si="0"/>
        <v>LASP 04/25/08</v>
      </c>
    </row>
    <row r="10" spans="1:6" ht="12.75">
      <c r="A10" s="18" t="str">
        <f>'[1]DFB_Data'!A8</f>
        <v>SPEC</v>
      </c>
      <c r="B10" s="19">
        <f>'[1]DFB_Data'!AB8/1000</f>
        <v>0.48</v>
      </c>
      <c r="C10" s="20"/>
      <c r="D10" s="21"/>
      <c r="F10" s="14" t="str">
        <f t="shared" si="0"/>
        <v>LASP 04/25/08</v>
      </c>
    </row>
    <row r="11" spans="1:6" ht="12.75">
      <c r="A11" s="18" t="str">
        <f>'[1]DFB_Data'!A9</f>
        <v>XSPEC</v>
      </c>
      <c r="B11" s="19">
        <f>'[1]DFB_Data'!AB9/1000</f>
        <v>0.48</v>
      </c>
      <c r="C11" s="20"/>
      <c r="D11" s="21"/>
      <c r="F11" s="14" t="str">
        <f t="shared" si="0"/>
        <v>LASP 04/25/08</v>
      </c>
    </row>
    <row r="12" spans="1:6" ht="12.75">
      <c r="A12" s="208" t="str">
        <f>'[1]DFB_Data'!A11</f>
        <v>SOL1</v>
      </c>
      <c r="B12" s="19">
        <f>'[1]DFB_Data'!AB11/1000</f>
        <v>0.032</v>
      </c>
      <c r="C12" s="20"/>
      <c r="D12" s="21"/>
      <c r="F12" s="14" t="str">
        <f t="shared" si="0"/>
        <v>LASP 04/25/08</v>
      </c>
    </row>
    <row r="13" spans="1:6" ht="12.75">
      <c r="A13" s="18" t="str">
        <f>'[1]DFB_Data'!A13</f>
        <v>FB</v>
      </c>
      <c r="B13" s="19">
        <f>'[1]DFB_Data'!AB13/1000</f>
        <v>0.896</v>
      </c>
      <c r="C13" s="20"/>
      <c r="D13" s="21"/>
      <c r="F13" s="14" t="str">
        <f t="shared" si="0"/>
        <v>LASP 04/25/08</v>
      </c>
    </row>
    <row r="14" spans="1:6" ht="12.75">
      <c r="A14" s="22" t="s">
        <v>177</v>
      </c>
      <c r="B14" s="210">
        <f>SUM(B15:B16)</f>
        <v>0.0352</v>
      </c>
      <c r="C14" s="25"/>
      <c r="D14" s="26"/>
      <c r="F14" s="14"/>
    </row>
    <row r="15" spans="1:6" ht="12.75">
      <c r="A15" s="18" t="s">
        <v>21</v>
      </c>
      <c r="B15" s="19">
        <f>(2*12*8+1*8*8)/1000/B22</f>
        <v>0.0256</v>
      </c>
      <c r="C15" s="20"/>
      <c r="D15" s="21"/>
      <c r="F15" s="14" t="s">
        <v>25</v>
      </c>
    </row>
    <row r="16" spans="1:6" ht="12.75">
      <c r="A16" s="18" t="s">
        <v>22</v>
      </c>
      <c r="B16" s="19">
        <f>1*12*8/1000/B22</f>
        <v>0.009600000000000001</v>
      </c>
      <c r="C16" s="20"/>
      <c r="D16" s="21"/>
      <c r="F16" s="14" t="s">
        <v>26</v>
      </c>
    </row>
    <row r="17" spans="1:6" ht="12.75">
      <c r="A17" s="22" t="s">
        <v>19</v>
      </c>
      <c r="B17" s="210">
        <f>128*8/1024/4</f>
        <v>0.25</v>
      </c>
      <c r="C17" s="23">
        <f>B17*3600*24/1000000</f>
        <v>0.0216</v>
      </c>
      <c r="D17" s="24">
        <f>C17*7</f>
        <v>0.1512</v>
      </c>
      <c r="F17" s="14" t="s">
        <v>20</v>
      </c>
    </row>
    <row r="18" spans="1:6" ht="12.75">
      <c r="A18" s="10" t="s">
        <v>14</v>
      </c>
      <c r="B18" s="6">
        <f>B19-B5</f>
        <v>6.757114814814815</v>
      </c>
      <c r="C18" s="27">
        <f>B18*3600*24/1000000</f>
        <v>0.58381472</v>
      </c>
      <c r="D18" s="28">
        <f>C18*7</f>
        <v>4.08670304</v>
      </c>
      <c r="F18" s="3"/>
    </row>
    <row r="19" spans="1:6" ht="13.5" thickBot="1">
      <c r="A19" s="12" t="s">
        <v>13</v>
      </c>
      <c r="B19" s="13">
        <f>C19*1000*1000/24/3600</f>
        <v>12.002314814814815</v>
      </c>
      <c r="C19" s="29">
        <f>B21</f>
        <v>1.037</v>
      </c>
      <c r="D19" s="30">
        <f>C19*7</f>
        <v>7.2589999999999995</v>
      </c>
      <c r="F19" s="3"/>
    </row>
    <row r="20" spans="1:4" ht="12.75">
      <c r="A20" s="5"/>
      <c r="B20" s="17"/>
      <c r="C20" s="4"/>
      <c r="D20" s="4"/>
    </row>
    <row r="21" spans="1:4" ht="12.75">
      <c r="A21" t="s">
        <v>29</v>
      </c>
      <c r="B21">
        <v>1.037</v>
      </c>
      <c r="C21" t="s">
        <v>30</v>
      </c>
      <c r="D21" s="4"/>
    </row>
    <row r="22" spans="1:3" ht="12.75">
      <c r="A22" t="s">
        <v>23</v>
      </c>
      <c r="B22" s="16">
        <v>10</v>
      </c>
      <c r="C22" t="s">
        <v>24</v>
      </c>
    </row>
    <row r="24" ht="12.75">
      <c r="A24" t="s">
        <v>175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PageLayoutView="0" workbookViewId="0" topLeftCell="A1">
      <selection activeCell="A1" sqref="A1"/>
    </sheetView>
  </sheetViews>
  <sheetFormatPr defaultColWidth="12.7109375" defaultRowHeight="12.75"/>
  <cols>
    <col min="1" max="1" width="8.8515625" style="196" customWidth="1"/>
    <col min="2" max="2" width="7.140625" style="197" customWidth="1"/>
    <col min="3" max="3" width="15.140625" style="38" customWidth="1"/>
    <col min="4" max="4" width="10.7109375" style="38" customWidth="1"/>
    <col min="5" max="5" width="9.7109375" style="38" customWidth="1"/>
    <col min="6" max="6" width="9.421875" style="38" customWidth="1"/>
    <col min="7" max="8" width="8.140625" style="38" customWidth="1"/>
    <col min="9" max="10" width="8.140625" style="38" hidden="1" customWidth="1"/>
    <col min="11" max="11" width="11.00390625" style="38" hidden="1" customWidth="1"/>
    <col min="12" max="12" width="10.140625" style="38" hidden="1" customWidth="1"/>
    <col min="13" max="13" width="12.140625" style="198" customWidth="1"/>
    <col min="14" max="14" width="12.140625" style="38" customWidth="1"/>
    <col min="15" max="16" width="9.140625" style="198" customWidth="1"/>
    <col min="17" max="17" width="9.140625" style="38" customWidth="1"/>
    <col min="18" max="18" width="7.140625" style="197" customWidth="1"/>
    <col min="19" max="19" width="6.00390625" style="197" customWidth="1"/>
    <col min="20" max="20" width="9.421875" style="200" customWidth="1"/>
    <col min="21" max="21" width="14.28125" style="38" customWidth="1"/>
    <col min="22" max="22" width="14.28125" style="38" hidden="1" customWidth="1"/>
    <col min="23" max="24" width="14.28125" style="38" customWidth="1"/>
    <col min="25" max="25" width="8.8515625" style="38" customWidth="1"/>
    <col min="26" max="26" width="10.7109375" style="38" customWidth="1"/>
    <col min="27" max="28" width="12.7109375" style="38" customWidth="1"/>
    <col min="29" max="29" width="12.7109375" style="143" customWidth="1"/>
    <col min="30" max="16384" width="12.7109375" style="38" customWidth="1"/>
  </cols>
  <sheetData>
    <row r="1" spans="1:33" ht="64.5" thickBot="1">
      <c r="A1" s="31" t="s">
        <v>32</v>
      </c>
      <c r="B1" s="32" t="s">
        <v>33</v>
      </c>
      <c r="C1" s="32" t="s">
        <v>34</v>
      </c>
      <c r="D1" s="32" t="s">
        <v>35</v>
      </c>
      <c r="E1" s="32" t="s">
        <v>36</v>
      </c>
      <c r="F1" s="32" t="s">
        <v>37</v>
      </c>
      <c r="G1" s="32" t="s">
        <v>38</v>
      </c>
      <c r="H1" s="32" t="s">
        <v>39</v>
      </c>
      <c r="I1" s="32" t="s">
        <v>40</v>
      </c>
      <c r="J1" s="32" t="s">
        <v>41</v>
      </c>
      <c r="K1" s="32" t="s">
        <v>42</v>
      </c>
      <c r="L1" s="32" t="s">
        <v>43</v>
      </c>
      <c r="M1" s="33" t="s">
        <v>44</v>
      </c>
      <c r="N1" s="32" t="s">
        <v>45</v>
      </c>
      <c r="O1" s="34" t="s">
        <v>46</v>
      </c>
      <c r="P1" s="34"/>
      <c r="Q1" s="34"/>
      <c r="R1" s="33" t="s">
        <v>47</v>
      </c>
      <c r="S1" s="33" t="s">
        <v>48</v>
      </c>
      <c r="T1" s="35" t="s">
        <v>49</v>
      </c>
      <c r="U1" s="32" t="s">
        <v>50</v>
      </c>
      <c r="V1" s="34"/>
      <c r="W1" s="34" t="s">
        <v>51</v>
      </c>
      <c r="X1" s="34" t="s">
        <v>52</v>
      </c>
      <c r="Y1" s="34" t="s">
        <v>53</v>
      </c>
      <c r="Z1" s="34" t="s">
        <v>54</v>
      </c>
      <c r="AA1" s="34" t="s">
        <v>3</v>
      </c>
      <c r="AB1" s="209" t="s">
        <v>55</v>
      </c>
      <c r="AC1" s="36"/>
      <c r="AD1" s="37" t="s">
        <v>56</v>
      </c>
      <c r="AE1" s="37" t="s">
        <v>57</v>
      </c>
      <c r="AF1" s="37" t="s">
        <v>58</v>
      </c>
      <c r="AG1" s="37" t="s">
        <v>59</v>
      </c>
    </row>
    <row r="2" spans="1:33" ht="13.5" thickBot="1">
      <c r="A2" s="39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0"/>
      <c r="O2" s="42"/>
      <c r="P2" s="42"/>
      <c r="Q2" s="42"/>
      <c r="R2" s="41"/>
      <c r="S2" s="41"/>
      <c r="T2" s="43"/>
      <c r="U2" s="40"/>
      <c r="V2" s="42"/>
      <c r="W2" s="42"/>
      <c r="X2" s="42"/>
      <c r="Y2" s="42"/>
      <c r="Z2" s="42"/>
      <c r="AA2" s="42"/>
      <c r="AB2" s="44"/>
      <c r="AC2" s="36"/>
      <c r="AD2" s="37"/>
      <c r="AE2" s="37"/>
      <c r="AF2" s="37"/>
      <c r="AG2" s="37"/>
    </row>
    <row r="3" spans="1:33" s="52" customFormat="1" ht="12.75">
      <c r="A3" s="45" t="s">
        <v>61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6"/>
      <c r="O3" s="48"/>
      <c r="P3" s="48"/>
      <c r="Q3" s="48"/>
      <c r="R3" s="47"/>
      <c r="S3" s="47"/>
      <c r="T3" s="46"/>
      <c r="U3" s="46"/>
      <c r="V3" s="48"/>
      <c r="W3" s="48"/>
      <c r="X3" s="48"/>
      <c r="Y3" s="48"/>
      <c r="Z3" s="48"/>
      <c r="AA3" s="48"/>
      <c r="AB3" s="49"/>
      <c r="AC3" s="50"/>
      <c r="AD3" s="51"/>
      <c r="AE3" s="51"/>
      <c r="AF3" s="51"/>
      <c r="AG3" s="51"/>
    </row>
    <row r="4" spans="1:33" ht="38.25">
      <c r="A4" s="53" t="s">
        <v>62</v>
      </c>
      <c r="B4" s="54">
        <v>43</v>
      </c>
      <c r="C4" s="55" t="s">
        <v>63</v>
      </c>
      <c r="D4" s="56" t="s">
        <v>64</v>
      </c>
      <c r="E4" s="55">
        <v>2</v>
      </c>
      <c r="F4" s="55">
        <v>3</v>
      </c>
      <c r="G4" s="55" t="s">
        <v>65</v>
      </c>
      <c r="H4" s="55" t="s">
        <v>66</v>
      </c>
      <c r="I4" s="55"/>
      <c r="J4" s="57" t="s">
        <v>4</v>
      </c>
      <c r="K4" s="57" t="s">
        <v>67</v>
      </c>
      <c r="L4" s="57" t="s">
        <v>5</v>
      </c>
      <c r="M4" s="58" t="s">
        <v>68</v>
      </c>
      <c r="N4" s="54" t="s">
        <v>69</v>
      </c>
      <c r="O4" s="55"/>
      <c r="P4" s="55"/>
      <c r="Q4" s="55"/>
      <c r="R4" s="58">
        <v>1</v>
      </c>
      <c r="S4" s="58" t="s">
        <v>70</v>
      </c>
      <c r="T4" s="59">
        <v>32</v>
      </c>
      <c r="U4" s="55"/>
      <c r="V4" s="55"/>
      <c r="W4" s="55">
        <v>16</v>
      </c>
      <c r="X4" s="55"/>
      <c r="Y4" s="55"/>
      <c r="Z4" s="60">
        <f>E4*T4*W4</f>
        <v>1024</v>
      </c>
      <c r="AA4" s="61">
        <v>1</v>
      </c>
      <c r="AB4" s="62">
        <f>Z4*AA4</f>
        <v>1024</v>
      </c>
      <c r="AC4" s="63"/>
      <c r="AD4" s="55">
        <f>Z4/8</f>
        <v>128</v>
      </c>
      <c r="AE4" s="55">
        <v>3088</v>
      </c>
      <c r="AF4" s="64">
        <f>1/((AE4-16)/AD4)</f>
        <v>0.041666666666666664</v>
      </c>
      <c r="AG4" s="65">
        <f>1/AF4</f>
        <v>24</v>
      </c>
    </row>
    <row r="5" spans="1:33" ht="38.25">
      <c r="A5" s="53" t="s">
        <v>71</v>
      </c>
      <c r="B5" s="54">
        <v>42</v>
      </c>
      <c r="C5" s="55" t="s">
        <v>72</v>
      </c>
      <c r="D5" s="55" t="s">
        <v>73</v>
      </c>
      <c r="E5" s="55">
        <v>4</v>
      </c>
      <c r="F5" s="55">
        <v>4</v>
      </c>
      <c r="G5" s="55" t="s">
        <v>74</v>
      </c>
      <c r="H5" s="55" t="s">
        <v>66</v>
      </c>
      <c r="I5" s="55"/>
      <c r="J5" s="57" t="s">
        <v>4</v>
      </c>
      <c r="K5" s="66" t="s">
        <v>75</v>
      </c>
      <c r="L5" s="66" t="s">
        <v>76</v>
      </c>
      <c r="M5" s="58" t="s">
        <v>77</v>
      </c>
      <c r="N5" s="54" t="s">
        <v>7</v>
      </c>
      <c r="O5" s="55"/>
      <c r="P5" s="55"/>
      <c r="Q5" s="55"/>
      <c r="R5" s="58" t="s">
        <v>78</v>
      </c>
      <c r="S5" s="58" t="s">
        <v>70</v>
      </c>
      <c r="T5" s="59">
        <v>32</v>
      </c>
      <c r="U5" s="55" t="s">
        <v>79</v>
      </c>
      <c r="V5" s="55"/>
      <c r="W5" s="55">
        <v>16</v>
      </c>
      <c r="X5" s="55"/>
      <c r="Y5" s="55"/>
      <c r="Z5" s="60">
        <f>E5*T5*W5</f>
        <v>2048</v>
      </c>
      <c r="AA5" s="61">
        <v>1</v>
      </c>
      <c r="AB5" s="62">
        <f>Z5*AA5</f>
        <v>2048</v>
      </c>
      <c r="AC5" s="63"/>
      <c r="AD5" s="55">
        <f>Z5/8</f>
        <v>256</v>
      </c>
      <c r="AE5" s="55">
        <v>3088</v>
      </c>
      <c r="AF5" s="64">
        <f>1/((AE5-16)/AD5)</f>
        <v>0.08333333333333333</v>
      </c>
      <c r="AG5" s="65">
        <f>1/AF5</f>
        <v>12</v>
      </c>
    </row>
    <row r="6" spans="1:33" ht="26.25" thickBot="1">
      <c r="A6" s="53" t="s">
        <v>80</v>
      </c>
      <c r="B6" s="54">
        <v>44</v>
      </c>
      <c r="C6" s="55" t="s">
        <v>81</v>
      </c>
      <c r="D6" s="55" t="s">
        <v>73</v>
      </c>
      <c r="E6" s="55">
        <v>2</v>
      </c>
      <c r="F6" s="55">
        <v>2</v>
      </c>
      <c r="G6" s="55" t="s">
        <v>81</v>
      </c>
      <c r="H6" s="55" t="s">
        <v>66</v>
      </c>
      <c r="I6" s="55"/>
      <c r="J6" s="55"/>
      <c r="K6" s="55"/>
      <c r="L6" s="55"/>
      <c r="M6" s="58" t="s">
        <v>82</v>
      </c>
      <c r="N6" s="67">
        <v>0.05</v>
      </c>
      <c r="O6" s="55"/>
      <c r="P6" s="55"/>
      <c r="Q6" s="55"/>
      <c r="R6" s="58" t="s">
        <v>78</v>
      </c>
      <c r="S6" s="58" t="s">
        <v>70</v>
      </c>
      <c r="T6" s="59">
        <v>32</v>
      </c>
      <c r="U6" s="55"/>
      <c r="V6" s="55"/>
      <c r="W6" s="55">
        <v>16</v>
      </c>
      <c r="X6" s="55"/>
      <c r="Y6" s="55"/>
      <c r="Z6" s="60">
        <f>E6*T6*W6</f>
        <v>1024</v>
      </c>
      <c r="AA6" s="61"/>
      <c r="AB6" s="62">
        <f>Z6*AA6</f>
        <v>0</v>
      </c>
      <c r="AC6" s="63"/>
      <c r="AD6" s="55">
        <f>Z6/8</f>
        <v>128</v>
      </c>
      <c r="AE6" s="55">
        <v>3088</v>
      </c>
      <c r="AF6" s="64">
        <f>1/((AE6-16)/AD6)</f>
        <v>0.041666666666666664</v>
      </c>
      <c r="AG6" s="65">
        <f>1/AF6</f>
        <v>24</v>
      </c>
    </row>
    <row r="7" spans="1:33" s="52" customFormat="1" ht="12.75">
      <c r="A7" s="45" t="s">
        <v>83</v>
      </c>
      <c r="B7" s="46"/>
      <c r="C7" s="48"/>
      <c r="D7" s="48"/>
      <c r="E7" s="48"/>
      <c r="F7" s="48"/>
      <c r="G7" s="48"/>
      <c r="H7" s="48"/>
      <c r="I7" s="48"/>
      <c r="J7" s="48"/>
      <c r="K7" s="48"/>
      <c r="L7" s="48"/>
      <c r="M7" s="47"/>
      <c r="N7" s="46"/>
      <c r="O7" s="48"/>
      <c r="P7" s="48"/>
      <c r="Q7" s="48"/>
      <c r="R7" s="47"/>
      <c r="S7" s="47"/>
      <c r="T7" s="46"/>
      <c r="U7" s="48"/>
      <c r="V7" s="48"/>
      <c r="W7" s="48"/>
      <c r="X7" s="48"/>
      <c r="Y7" s="48"/>
      <c r="Z7" s="68"/>
      <c r="AA7" s="69"/>
      <c r="AB7" s="70"/>
      <c r="AC7" s="71"/>
      <c r="AD7" s="72"/>
      <c r="AE7" s="72"/>
      <c r="AF7" s="73"/>
      <c r="AG7" s="74"/>
    </row>
    <row r="8" spans="1:33" ht="293.25">
      <c r="A8" s="53" t="s">
        <v>84</v>
      </c>
      <c r="B8" s="54" t="s">
        <v>85</v>
      </c>
      <c r="C8" s="55" t="s">
        <v>86</v>
      </c>
      <c r="D8" s="75" t="s">
        <v>87</v>
      </c>
      <c r="E8" s="55">
        <v>6</v>
      </c>
      <c r="F8" s="55">
        <v>8</v>
      </c>
      <c r="G8" s="55" t="s">
        <v>88</v>
      </c>
      <c r="H8" s="55" t="s">
        <v>89</v>
      </c>
      <c r="I8" s="55" t="s">
        <v>90</v>
      </c>
      <c r="J8" s="57" t="s">
        <v>8</v>
      </c>
      <c r="K8" s="66" t="s">
        <v>91</v>
      </c>
      <c r="L8" s="57" t="s">
        <v>10</v>
      </c>
      <c r="M8" s="76" t="s">
        <v>92</v>
      </c>
      <c r="N8" s="76" t="s">
        <v>92</v>
      </c>
      <c r="O8" s="54" t="s">
        <v>93</v>
      </c>
      <c r="P8" s="54" t="s">
        <v>94</v>
      </c>
      <c r="Q8" s="54" t="s">
        <v>95</v>
      </c>
      <c r="R8" s="58" t="s">
        <v>96</v>
      </c>
      <c r="S8" s="58" t="s">
        <v>97</v>
      </c>
      <c r="T8" s="77">
        <f>0.125</f>
        <v>0.125</v>
      </c>
      <c r="U8" s="55" t="s">
        <v>98</v>
      </c>
      <c r="V8" s="55"/>
      <c r="W8" s="55">
        <v>8</v>
      </c>
      <c r="X8" s="55">
        <v>80</v>
      </c>
      <c r="Y8" s="78" t="s">
        <v>99</v>
      </c>
      <c r="Z8" s="60">
        <f>E8*T8*W8*X8</f>
        <v>480</v>
      </c>
      <c r="AA8" s="61">
        <v>1</v>
      </c>
      <c r="AB8" s="62">
        <f>Z8*AA8</f>
        <v>480</v>
      </c>
      <c r="AC8" s="63"/>
      <c r="AD8" s="55">
        <f>Z8/8</f>
        <v>60</v>
      </c>
      <c r="AE8" s="55">
        <v>3088</v>
      </c>
      <c r="AF8" s="64">
        <f>1/((AE8-16)/AD8)</f>
        <v>0.01953125</v>
      </c>
      <c r="AG8" s="65">
        <f>1/AF8</f>
        <v>51.2</v>
      </c>
    </row>
    <row r="9" spans="1:33" ht="115.5" thickBot="1">
      <c r="A9" s="79" t="s">
        <v>100</v>
      </c>
      <c r="B9" s="80" t="s">
        <v>101</v>
      </c>
      <c r="C9" s="81" t="s">
        <v>102</v>
      </c>
      <c r="D9" s="82" t="s">
        <v>103</v>
      </c>
      <c r="E9" s="83" t="s">
        <v>104</v>
      </c>
      <c r="F9" s="83" t="s">
        <v>97</v>
      </c>
      <c r="G9" s="81" t="s">
        <v>105</v>
      </c>
      <c r="H9" s="81" t="s">
        <v>106</v>
      </c>
      <c r="I9" s="81"/>
      <c r="J9" s="57" t="s">
        <v>8</v>
      </c>
      <c r="K9" s="57" t="s">
        <v>9</v>
      </c>
      <c r="L9" s="57" t="s">
        <v>107</v>
      </c>
      <c r="M9" s="81" t="s">
        <v>108</v>
      </c>
      <c r="N9" s="81" t="s">
        <v>109</v>
      </c>
      <c r="O9" s="84" t="s">
        <v>110</v>
      </c>
      <c r="P9" s="84" t="s">
        <v>111</v>
      </c>
      <c r="Q9" s="84" t="s">
        <v>112</v>
      </c>
      <c r="R9" s="80" t="s">
        <v>96</v>
      </c>
      <c r="S9" s="80">
        <v>4</v>
      </c>
      <c r="T9" s="85">
        <f>1/8</f>
        <v>0.125</v>
      </c>
      <c r="U9" s="81" t="s">
        <v>113</v>
      </c>
      <c r="V9" s="86"/>
      <c r="W9" s="86">
        <v>16</v>
      </c>
      <c r="X9" s="86">
        <v>80</v>
      </c>
      <c r="Y9" s="87" t="s">
        <v>99</v>
      </c>
      <c r="Z9" s="88">
        <f>E9*T9*W9*X9</f>
        <v>480</v>
      </c>
      <c r="AA9" s="89">
        <v>1</v>
      </c>
      <c r="AB9" s="90">
        <f>Z9*AA9</f>
        <v>480</v>
      </c>
      <c r="AC9" s="63"/>
      <c r="AD9" s="55">
        <f>Z9/8</f>
        <v>60</v>
      </c>
      <c r="AE9" s="55">
        <v>3088</v>
      </c>
      <c r="AF9" s="64">
        <f>1/((AE9-16)/AD9)</f>
        <v>0.01953125</v>
      </c>
      <c r="AG9" s="65">
        <f>1/AF9</f>
        <v>51.2</v>
      </c>
    </row>
    <row r="10" spans="1:33" s="52" customFormat="1" ht="12.75">
      <c r="A10" s="91" t="s">
        <v>114</v>
      </c>
      <c r="B10" s="47"/>
      <c r="C10" s="92"/>
      <c r="D10" s="92"/>
      <c r="E10" s="93"/>
      <c r="F10" s="93"/>
      <c r="G10" s="92"/>
      <c r="H10" s="92"/>
      <c r="I10" s="92"/>
      <c r="J10" s="92"/>
      <c r="K10" s="92"/>
      <c r="L10" s="92"/>
      <c r="M10" s="92"/>
      <c r="N10" s="92"/>
      <c r="O10" s="46"/>
      <c r="P10" s="46"/>
      <c r="Q10" s="46"/>
      <c r="R10" s="47"/>
      <c r="S10" s="47"/>
      <c r="T10" s="94"/>
      <c r="U10" s="92"/>
      <c r="V10" s="48"/>
      <c r="W10" s="48"/>
      <c r="X10" s="48"/>
      <c r="Y10" s="95"/>
      <c r="Z10" s="68"/>
      <c r="AA10" s="96"/>
      <c r="AB10" s="70"/>
      <c r="AC10" s="71"/>
      <c r="AD10" s="72"/>
      <c r="AE10" s="72"/>
      <c r="AF10" s="73"/>
      <c r="AG10" s="74"/>
    </row>
    <row r="11" spans="1:33" ht="51.75" thickBot="1">
      <c r="A11" s="97" t="s">
        <v>115</v>
      </c>
      <c r="B11" s="98" t="s">
        <v>116</v>
      </c>
      <c r="C11" s="99" t="s">
        <v>117</v>
      </c>
      <c r="D11" s="100" t="s">
        <v>118</v>
      </c>
      <c r="E11" s="101" t="s">
        <v>78</v>
      </c>
      <c r="F11" s="101" t="s">
        <v>78</v>
      </c>
      <c r="G11" s="99" t="s">
        <v>119</v>
      </c>
      <c r="H11" s="102" t="s">
        <v>70</v>
      </c>
      <c r="I11" s="99"/>
      <c r="J11" s="99"/>
      <c r="K11" s="99"/>
      <c r="L11" s="99"/>
      <c r="M11" s="99" t="s">
        <v>120</v>
      </c>
      <c r="N11" s="102" t="s">
        <v>121</v>
      </c>
      <c r="O11" s="103"/>
      <c r="P11" s="103"/>
      <c r="Q11" s="103"/>
      <c r="R11" s="102" t="s">
        <v>96</v>
      </c>
      <c r="S11" s="102">
        <v>4</v>
      </c>
      <c r="T11" s="104">
        <v>0.125</v>
      </c>
      <c r="U11" s="99" t="s">
        <v>122</v>
      </c>
      <c r="V11" s="103"/>
      <c r="W11" s="103">
        <v>16</v>
      </c>
      <c r="X11" s="103">
        <v>16</v>
      </c>
      <c r="Y11" s="105">
        <v>16</v>
      </c>
      <c r="Z11" s="106">
        <f>E11*T11*W11*X11</f>
        <v>32</v>
      </c>
      <c r="AA11" s="107">
        <v>1</v>
      </c>
      <c r="AB11" s="108">
        <f>Z11*AA11</f>
        <v>32</v>
      </c>
      <c r="AC11" s="63"/>
      <c r="AD11" s="55">
        <f>Z11/8</f>
        <v>4</v>
      </c>
      <c r="AE11" s="55">
        <v>3088</v>
      </c>
      <c r="AF11" s="64">
        <f>1/((AE11-16)/AD11)</f>
        <v>0.0013020833333333333</v>
      </c>
      <c r="AG11" s="65">
        <f>1/AF11</f>
        <v>768</v>
      </c>
    </row>
    <row r="12" spans="1:33" s="114" customFormat="1" ht="12.75">
      <c r="A12" s="109" t="s">
        <v>123</v>
      </c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2"/>
      <c r="AC12" s="113"/>
      <c r="AD12" s="72"/>
      <c r="AE12" s="72"/>
      <c r="AF12" s="73"/>
      <c r="AG12" s="74"/>
    </row>
    <row r="13" spans="1:33" ht="69.75" customHeight="1" thickBot="1">
      <c r="A13" s="115" t="s">
        <v>124</v>
      </c>
      <c r="B13" s="98">
        <v>40</v>
      </c>
      <c r="C13" s="99" t="s">
        <v>125</v>
      </c>
      <c r="D13" s="116" t="s">
        <v>64</v>
      </c>
      <c r="E13" s="103">
        <v>2</v>
      </c>
      <c r="F13" s="103">
        <v>4</v>
      </c>
      <c r="G13" s="103" t="s">
        <v>126</v>
      </c>
      <c r="H13" s="103" t="s">
        <v>106</v>
      </c>
      <c r="I13" s="99" t="s">
        <v>92</v>
      </c>
      <c r="J13" s="57" t="s">
        <v>17</v>
      </c>
      <c r="K13" s="57" t="s">
        <v>127</v>
      </c>
      <c r="L13" s="57" t="s">
        <v>128</v>
      </c>
      <c r="M13" s="103"/>
      <c r="N13" s="103"/>
      <c r="O13" s="103" t="s">
        <v>129</v>
      </c>
      <c r="P13" s="103" t="s">
        <v>130</v>
      </c>
      <c r="Q13" s="103"/>
      <c r="R13" s="102" t="s">
        <v>131</v>
      </c>
      <c r="S13" s="102" t="s">
        <v>132</v>
      </c>
      <c r="T13" s="117" t="s">
        <v>133</v>
      </c>
      <c r="U13" s="103" t="s">
        <v>134</v>
      </c>
      <c r="V13" s="103"/>
      <c r="W13" s="103">
        <v>8</v>
      </c>
      <c r="X13" s="103">
        <v>7</v>
      </c>
      <c r="Y13" s="105">
        <v>7</v>
      </c>
      <c r="Z13" s="106">
        <f>E13*T13*W13*X13</f>
        <v>896</v>
      </c>
      <c r="AA13" s="107">
        <v>1</v>
      </c>
      <c r="AB13" s="108">
        <f>Z13*AA13</f>
        <v>896</v>
      </c>
      <c r="AC13" s="63"/>
      <c r="AD13" s="55">
        <f>Z13/8</f>
        <v>112</v>
      </c>
      <c r="AE13" s="55">
        <v>3088</v>
      </c>
      <c r="AF13" s="64">
        <f>1/((AE13-16)/AD13)</f>
        <v>0.036458333333333336</v>
      </c>
      <c r="AG13" s="65">
        <f>1/AF13</f>
        <v>27.428571428571427</v>
      </c>
    </row>
    <row r="14" spans="1:33" ht="13.5" thickBot="1">
      <c r="A14" s="118" t="s">
        <v>135</v>
      </c>
      <c r="B14" s="119"/>
      <c r="C14" s="120"/>
      <c r="D14" s="121"/>
      <c r="E14" s="121"/>
      <c r="F14" s="121"/>
      <c r="G14" s="121"/>
      <c r="H14" s="121"/>
      <c r="I14" s="120"/>
      <c r="J14" s="120"/>
      <c r="K14" s="120"/>
      <c r="L14" s="120"/>
      <c r="M14" s="121"/>
      <c r="N14" s="121"/>
      <c r="O14" s="121"/>
      <c r="P14" s="121"/>
      <c r="Q14" s="121"/>
      <c r="R14" s="122"/>
      <c r="S14" s="122"/>
      <c r="T14" s="123"/>
      <c r="U14" s="121"/>
      <c r="V14" s="121"/>
      <c r="W14" s="121"/>
      <c r="X14" s="121"/>
      <c r="Y14" s="124"/>
      <c r="Z14" s="125">
        <f>SUM(Z4:Z13)</f>
        <v>5984</v>
      </c>
      <c r="AA14" s="126"/>
      <c r="AB14" s="127">
        <f>SUM(AB4:AB13)</f>
        <v>4960</v>
      </c>
      <c r="AC14" s="128"/>
      <c r="AD14" s="129"/>
      <c r="AE14" s="129"/>
      <c r="AF14" s="130"/>
      <c r="AG14" s="131"/>
    </row>
    <row r="15" spans="1:33" s="143" customFormat="1" ht="13.5" thickBot="1">
      <c r="A15" s="132"/>
      <c r="B15" s="133"/>
      <c r="C15" s="134"/>
      <c r="D15" s="135"/>
      <c r="E15" s="136"/>
      <c r="F15" s="136"/>
      <c r="G15" s="136"/>
      <c r="H15" s="136"/>
      <c r="I15" s="134"/>
      <c r="J15" s="134"/>
      <c r="K15" s="134"/>
      <c r="L15" s="134"/>
      <c r="M15" s="136"/>
      <c r="N15" s="136"/>
      <c r="O15" s="136"/>
      <c r="P15" s="136"/>
      <c r="Q15" s="136"/>
      <c r="R15" s="137"/>
      <c r="S15" s="137"/>
      <c r="T15" s="138"/>
      <c r="U15" s="136"/>
      <c r="V15" s="136"/>
      <c r="W15" s="136"/>
      <c r="X15" s="136"/>
      <c r="Y15" s="139"/>
      <c r="Z15" s="140"/>
      <c r="AA15" s="141"/>
      <c r="AB15" s="142"/>
      <c r="AC15" s="63"/>
      <c r="AD15" s="72"/>
      <c r="AE15" s="72"/>
      <c r="AF15" s="73"/>
      <c r="AG15" s="74"/>
    </row>
    <row r="16" spans="1:33" s="52" customFormat="1" ht="12.75">
      <c r="A16" s="144" t="s">
        <v>136</v>
      </c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7"/>
      <c r="N16" s="145"/>
      <c r="O16" s="146"/>
      <c r="P16" s="146"/>
      <c r="Q16" s="146"/>
      <c r="R16" s="147"/>
      <c r="S16" s="147"/>
      <c r="T16" s="145"/>
      <c r="U16" s="146"/>
      <c r="V16" s="146"/>
      <c r="W16" s="146"/>
      <c r="X16" s="146"/>
      <c r="Y16" s="146"/>
      <c r="Z16" s="148"/>
      <c r="AA16" s="149"/>
      <c r="AB16" s="150"/>
      <c r="AC16" s="71"/>
      <c r="AD16" s="72"/>
      <c r="AE16" s="72"/>
      <c r="AF16" s="73"/>
      <c r="AG16" s="74"/>
    </row>
    <row r="17" spans="1:33" ht="38.25">
      <c r="A17" s="151" t="s">
        <v>137</v>
      </c>
      <c r="B17" s="152">
        <v>45</v>
      </c>
      <c r="C17" s="153" t="s">
        <v>138</v>
      </c>
      <c r="D17" s="153" t="s">
        <v>73</v>
      </c>
      <c r="E17" s="153">
        <v>3</v>
      </c>
      <c r="F17" s="153">
        <v>3</v>
      </c>
      <c r="G17" s="153" t="s">
        <v>65</v>
      </c>
      <c r="H17" s="153" t="s">
        <v>66</v>
      </c>
      <c r="I17" s="153"/>
      <c r="J17" s="154" t="s">
        <v>4</v>
      </c>
      <c r="K17" s="154" t="s">
        <v>139</v>
      </c>
      <c r="L17" s="154" t="s">
        <v>5</v>
      </c>
      <c r="M17" s="155" t="s">
        <v>68</v>
      </c>
      <c r="N17" s="152" t="s">
        <v>69</v>
      </c>
      <c r="O17" s="153"/>
      <c r="P17" s="153"/>
      <c r="Q17" s="153"/>
      <c r="R17" s="155">
        <v>1</v>
      </c>
      <c r="S17" s="155" t="s">
        <v>70</v>
      </c>
      <c r="T17" s="156">
        <v>512</v>
      </c>
      <c r="U17" s="153" t="s">
        <v>140</v>
      </c>
      <c r="V17" s="153"/>
      <c r="W17" s="153">
        <v>16</v>
      </c>
      <c r="X17" s="153"/>
      <c r="Y17" s="153"/>
      <c r="Z17" s="157">
        <f>E17*T17*W17</f>
        <v>24576</v>
      </c>
      <c r="AA17" s="158">
        <v>0.075</v>
      </c>
      <c r="AB17" s="159">
        <f>Z17*AA17</f>
        <v>1843.1999999999998</v>
      </c>
      <c r="AC17" s="63"/>
      <c r="AD17" s="153">
        <f>Z17/8</f>
        <v>3072</v>
      </c>
      <c r="AE17" s="153">
        <v>3088</v>
      </c>
      <c r="AF17" s="160">
        <f>1/((AE17-16)/AD17)</f>
        <v>1</v>
      </c>
      <c r="AG17" s="161">
        <f>1/AF17</f>
        <v>1</v>
      </c>
    </row>
    <row r="18" spans="1:33" ht="38.25">
      <c r="A18" s="151" t="s">
        <v>141</v>
      </c>
      <c r="B18" s="152">
        <v>46</v>
      </c>
      <c r="C18" s="153" t="s">
        <v>142</v>
      </c>
      <c r="D18" s="162" t="s">
        <v>143</v>
      </c>
      <c r="E18" s="153">
        <v>1</v>
      </c>
      <c r="F18" s="153">
        <v>6</v>
      </c>
      <c r="G18" s="153" t="s">
        <v>144</v>
      </c>
      <c r="H18" s="153" t="s">
        <v>66</v>
      </c>
      <c r="I18" s="153"/>
      <c r="J18" s="163" t="s">
        <v>4</v>
      </c>
      <c r="K18" s="163" t="s">
        <v>145</v>
      </c>
      <c r="L18" s="163" t="s">
        <v>6</v>
      </c>
      <c r="M18" s="155" t="s">
        <v>77</v>
      </c>
      <c r="N18" s="152" t="s">
        <v>7</v>
      </c>
      <c r="O18" s="153"/>
      <c r="P18" s="153"/>
      <c r="Q18" s="153"/>
      <c r="R18" s="155" t="s">
        <v>78</v>
      </c>
      <c r="S18" s="155" t="s">
        <v>70</v>
      </c>
      <c r="T18" s="156">
        <v>512</v>
      </c>
      <c r="U18" s="153" t="s">
        <v>140</v>
      </c>
      <c r="V18" s="153"/>
      <c r="W18" s="153">
        <v>16</v>
      </c>
      <c r="X18" s="153"/>
      <c r="Y18" s="153"/>
      <c r="Z18" s="157">
        <f>E18*T18*W18</f>
        <v>8192</v>
      </c>
      <c r="AA18" s="158">
        <v>0.075</v>
      </c>
      <c r="AB18" s="159">
        <f>Z18*AA18</f>
        <v>614.4</v>
      </c>
      <c r="AC18" s="63"/>
      <c r="AD18" s="153">
        <f>Z18/8</f>
        <v>1024</v>
      </c>
      <c r="AE18" s="153">
        <v>3088</v>
      </c>
      <c r="AF18" s="160">
        <f>1/((AE18-16)/AD18)</f>
        <v>0.3333333333333333</v>
      </c>
      <c r="AG18" s="161">
        <f>1/AF18</f>
        <v>3</v>
      </c>
    </row>
    <row r="19" spans="1:33" ht="64.5" thickBot="1">
      <c r="A19" s="164" t="s">
        <v>146</v>
      </c>
      <c r="B19" s="165">
        <v>47</v>
      </c>
      <c r="C19" s="166" t="s">
        <v>147</v>
      </c>
      <c r="D19" s="166" t="s">
        <v>73</v>
      </c>
      <c r="E19" s="166">
        <v>3</v>
      </c>
      <c r="F19" s="166">
        <v>3</v>
      </c>
      <c r="G19" s="166" t="s">
        <v>148</v>
      </c>
      <c r="H19" s="166" t="s">
        <v>149</v>
      </c>
      <c r="I19" s="166" t="s">
        <v>150</v>
      </c>
      <c r="J19" s="163" t="s">
        <v>17</v>
      </c>
      <c r="K19" s="163" t="s">
        <v>139</v>
      </c>
      <c r="L19" s="163" t="s">
        <v>11</v>
      </c>
      <c r="M19" s="167" t="s">
        <v>151</v>
      </c>
      <c r="N19" s="165" t="s">
        <v>151</v>
      </c>
      <c r="O19" s="166"/>
      <c r="P19" s="166"/>
      <c r="Q19" s="166"/>
      <c r="R19" s="167">
        <v>1</v>
      </c>
      <c r="S19" s="167" t="s">
        <v>70</v>
      </c>
      <c r="T19" s="168">
        <v>512</v>
      </c>
      <c r="U19" s="166" t="s">
        <v>140</v>
      </c>
      <c r="V19" s="166"/>
      <c r="W19" s="166">
        <v>16</v>
      </c>
      <c r="X19" s="166"/>
      <c r="Y19" s="166"/>
      <c r="Z19" s="169">
        <f>E19*T19*W19</f>
        <v>24576</v>
      </c>
      <c r="AA19" s="170">
        <v>0.075</v>
      </c>
      <c r="AB19" s="171">
        <f>Z19*AA19</f>
        <v>1843.1999999999998</v>
      </c>
      <c r="AC19" s="63"/>
      <c r="AD19" s="153">
        <f>Z19/8</f>
        <v>3072</v>
      </c>
      <c r="AE19" s="153">
        <v>3088</v>
      </c>
      <c r="AF19" s="160">
        <f>1/((AE19-16)/AD19)</f>
        <v>1</v>
      </c>
      <c r="AG19" s="161">
        <f>1/AF19</f>
        <v>1</v>
      </c>
    </row>
    <row r="20" spans="1:33" ht="13.5" thickBot="1">
      <c r="A20" s="118" t="s">
        <v>152</v>
      </c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4"/>
      <c r="N20" s="172"/>
      <c r="O20" s="173"/>
      <c r="P20" s="173"/>
      <c r="Q20" s="173"/>
      <c r="R20" s="174"/>
      <c r="S20" s="174"/>
      <c r="T20" s="175"/>
      <c r="U20" s="173"/>
      <c r="V20" s="173"/>
      <c r="W20" s="173"/>
      <c r="X20" s="173"/>
      <c r="Y20" s="173"/>
      <c r="Z20" s="176">
        <f>SUM(Z17:Z19)</f>
        <v>57344</v>
      </c>
      <c r="AA20" s="177"/>
      <c r="AB20" s="178">
        <f>SUM(AB17:AB19)</f>
        <v>4300.799999999999</v>
      </c>
      <c r="AC20" s="63"/>
      <c r="AD20" s="72"/>
      <c r="AE20" s="72"/>
      <c r="AF20" s="73"/>
      <c r="AG20" s="74"/>
    </row>
    <row r="21" spans="1:33" ht="13.5" thickBot="1">
      <c r="A21" s="132"/>
      <c r="B21" s="133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3"/>
      <c r="O21" s="136"/>
      <c r="P21" s="136"/>
      <c r="Q21" s="136"/>
      <c r="R21" s="137"/>
      <c r="S21" s="137"/>
      <c r="T21" s="179"/>
      <c r="U21" s="136"/>
      <c r="V21" s="136"/>
      <c r="W21" s="136"/>
      <c r="X21" s="136"/>
      <c r="Y21" s="136"/>
      <c r="Z21" s="180"/>
      <c r="AA21" s="181"/>
      <c r="AB21" s="142"/>
      <c r="AC21" s="63"/>
      <c r="AD21" s="72"/>
      <c r="AE21" s="72"/>
      <c r="AF21" s="73"/>
      <c r="AG21" s="74"/>
    </row>
    <row r="22" spans="1:33" s="52" customFormat="1" ht="12.75">
      <c r="A22" s="144" t="s">
        <v>153</v>
      </c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7"/>
      <c r="S22" s="147"/>
      <c r="T22" s="145"/>
      <c r="U22" s="146"/>
      <c r="V22" s="146"/>
      <c r="W22" s="146"/>
      <c r="X22" s="146"/>
      <c r="Y22" s="146"/>
      <c r="Z22" s="182"/>
      <c r="AA22" s="183"/>
      <c r="AB22" s="150"/>
      <c r="AC22" s="71"/>
      <c r="AD22" s="72"/>
      <c r="AE22" s="72"/>
      <c r="AF22" s="73"/>
      <c r="AG22" s="74"/>
    </row>
    <row r="23" spans="1:33" ht="127.5">
      <c r="A23" s="151" t="s">
        <v>154</v>
      </c>
      <c r="B23" s="152">
        <v>49</v>
      </c>
      <c r="C23" s="153" t="s">
        <v>155</v>
      </c>
      <c r="D23" s="162" t="s">
        <v>143</v>
      </c>
      <c r="E23" s="153">
        <v>3</v>
      </c>
      <c r="F23" s="153">
        <v>10</v>
      </c>
      <c r="G23" s="153" t="s">
        <v>156</v>
      </c>
      <c r="H23" s="153" t="s">
        <v>106</v>
      </c>
      <c r="I23" s="153" t="s">
        <v>157</v>
      </c>
      <c r="J23" s="154" t="s">
        <v>4</v>
      </c>
      <c r="K23" s="154" t="s">
        <v>12</v>
      </c>
      <c r="L23" s="154" t="s">
        <v>5</v>
      </c>
      <c r="M23" s="184" t="s">
        <v>158</v>
      </c>
      <c r="N23" s="184" t="s">
        <v>159</v>
      </c>
      <c r="O23" s="153"/>
      <c r="P23" s="153"/>
      <c r="Q23" s="153"/>
      <c r="R23" s="155">
        <v>1</v>
      </c>
      <c r="S23" s="155" t="s">
        <v>70</v>
      </c>
      <c r="T23" s="156">
        <v>16384</v>
      </c>
      <c r="U23" s="153" t="s">
        <v>140</v>
      </c>
      <c r="V23" s="153" t="s">
        <v>160</v>
      </c>
      <c r="W23" s="153">
        <v>16</v>
      </c>
      <c r="X23" s="153"/>
      <c r="Y23" s="153"/>
      <c r="Z23" s="157">
        <f>E23*T23*W23</f>
        <v>786432</v>
      </c>
      <c r="AA23" s="158">
        <v>0.001</v>
      </c>
      <c r="AB23" s="159">
        <f>Z23*AA23</f>
        <v>786.432</v>
      </c>
      <c r="AC23" s="63"/>
      <c r="AD23" s="153">
        <f>Z23/8</f>
        <v>98304</v>
      </c>
      <c r="AE23" s="153">
        <v>3088</v>
      </c>
      <c r="AF23" s="160">
        <f>1/((AE23-16)/AD23)</f>
        <v>32</v>
      </c>
      <c r="AG23" s="161">
        <f>1/AF23</f>
        <v>0.03125</v>
      </c>
    </row>
    <row r="24" spans="1:33" ht="76.5">
      <c r="A24" s="151" t="s">
        <v>161</v>
      </c>
      <c r="B24" s="152" t="s">
        <v>162</v>
      </c>
      <c r="C24" s="153" t="s">
        <v>142</v>
      </c>
      <c r="D24" s="153" t="s">
        <v>73</v>
      </c>
      <c r="E24" s="153">
        <v>6</v>
      </c>
      <c r="F24" s="153">
        <v>6</v>
      </c>
      <c r="G24" s="153" t="s">
        <v>163</v>
      </c>
      <c r="H24" s="153" t="s">
        <v>149</v>
      </c>
      <c r="I24" s="153"/>
      <c r="J24" s="163" t="s">
        <v>17</v>
      </c>
      <c r="K24" s="163" t="s">
        <v>12</v>
      </c>
      <c r="L24" s="163" t="s">
        <v>6</v>
      </c>
      <c r="M24" s="155" t="s">
        <v>164</v>
      </c>
      <c r="N24" s="152" t="s">
        <v>165</v>
      </c>
      <c r="O24" s="153"/>
      <c r="P24" s="153"/>
      <c r="Q24" s="153"/>
      <c r="R24" s="155">
        <v>1</v>
      </c>
      <c r="S24" s="155" t="s">
        <v>70</v>
      </c>
      <c r="T24" s="156">
        <v>16384</v>
      </c>
      <c r="U24" s="153" t="s">
        <v>140</v>
      </c>
      <c r="V24" s="153"/>
      <c r="W24" s="153">
        <v>16</v>
      </c>
      <c r="X24" s="153"/>
      <c r="Y24" s="153"/>
      <c r="Z24" s="157">
        <f>E24*T24*W24</f>
        <v>1572864</v>
      </c>
      <c r="AA24" s="158">
        <v>0.001</v>
      </c>
      <c r="AB24" s="159">
        <f>Z24*AA24</f>
        <v>1572.864</v>
      </c>
      <c r="AC24" s="63"/>
      <c r="AD24" s="153">
        <f>Z24/8</f>
        <v>196608</v>
      </c>
      <c r="AE24" s="153">
        <v>3088</v>
      </c>
      <c r="AF24" s="160">
        <f>1/((AE24-16)/AD24)</f>
        <v>64</v>
      </c>
      <c r="AG24" s="161">
        <f>1/AF24</f>
        <v>0.015625</v>
      </c>
    </row>
    <row r="25" spans="1:33" ht="77.25" thickBot="1">
      <c r="A25" s="164" t="s">
        <v>166</v>
      </c>
      <c r="B25" s="165" t="s">
        <v>167</v>
      </c>
      <c r="C25" s="166" t="s">
        <v>168</v>
      </c>
      <c r="D25" s="185"/>
      <c r="E25" s="185">
        <v>0</v>
      </c>
      <c r="F25" s="166">
        <v>3</v>
      </c>
      <c r="G25" s="166" t="s">
        <v>169</v>
      </c>
      <c r="H25" s="166" t="s">
        <v>149</v>
      </c>
      <c r="I25" s="166" t="s">
        <v>150</v>
      </c>
      <c r="J25" s="166"/>
      <c r="K25" s="166"/>
      <c r="L25" s="166"/>
      <c r="M25" s="167" t="s">
        <v>151</v>
      </c>
      <c r="N25" s="165" t="s">
        <v>151</v>
      </c>
      <c r="O25" s="166"/>
      <c r="P25" s="166"/>
      <c r="Q25" s="166"/>
      <c r="R25" s="167">
        <v>1</v>
      </c>
      <c r="S25" s="167" t="s">
        <v>70</v>
      </c>
      <c r="T25" s="168">
        <v>16384</v>
      </c>
      <c r="U25" s="166" t="s">
        <v>140</v>
      </c>
      <c r="V25" s="166" t="s">
        <v>170</v>
      </c>
      <c r="W25" s="166">
        <v>16</v>
      </c>
      <c r="X25" s="166"/>
      <c r="Y25" s="166"/>
      <c r="Z25" s="186">
        <f>E25*T25*W25</f>
        <v>0</v>
      </c>
      <c r="AA25" s="170">
        <v>0.001</v>
      </c>
      <c r="AB25" s="171">
        <f>Z25*AA25</f>
        <v>0</v>
      </c>
      <c r="AC25" s="63"/>
      <c r="AD25" s="153">
        <f>Z25/8</f>
        <v>0</v>
      </c>
      <c r="AE25" s="153">
        <v>3088</v>
      </c>
      <c r="AF25" s="160" t="e">
        <f>1/((AE25-16)/AD25)</f>
        <v>#DIV/0!</v>
      </c>
      <c r="AG25" s="161" t="e">
        <f>1/AF25</f>
        <v>#DIV/0!</v>
      </c>
    </row>
    <row r="26" spans="1:33" ht="13.5" thickBot="1">
      <c r="A26" s="187" t="s">
        <v>171</v>
      </c>
      <c r="B26" s="188"/>
      <c r="C26" s="189"/>
      <c r="D26" s="189"/>
      <c r="E26" s="189"/>
      <c r="F26" s="189"/>
      <c r="G26" s="189"/>
      <c r="H26" s="189"/>
      <c r="I26" s="190"/>
      <c r="J26" s="190"/>
      <c r="K26" s="190"/>
      <c r="L26" s="190"/>
      <c r="M26" s="191"/>
      <c r="N26" s="191"/>
      <c r="O26" s="191"/>
      <c r="P26" s="191"/>
      <c r="Q26" s="191"/>
      <c r="R26" s="188"/>
      <c r="S26" s="188"/>
      <c r="T26" s="188"/>
      <c r="U26" s="189"/>
      <c r="V26" s="189"/>
      <c r="W26" s="189"/>
      <c r="X26" s="189"/>
      <c r="Y26" s="189"/>
      <c r="Z26" s="192">
        <f>SUM(Z23:Z25)</f>
        <v>2359296</v>
      </c>
      <c r="AA26" s="189"/>
      <c r="AB26" s="193">
        <f>SUM(AB23:AB25)</f>
        <v>2359.2960000000003</v>
      </c>
      <c r="AC26" s="194"/>
      <c r="AD26" s="195"/>
      <c r="AE26" s="195"/>
      <c r="AF26" s="195"/>
      <c r="AG26" s="195"/>
    </row>
    <row r="27" spans="9:33" ht="13.5" thickBot="1">
      <c r="I27" s="198"/>
      <c r="J27" s="198"/>
      <c r="K27" s="198"/>
      <c r="L27" s="198"/>
      <c r="M27" s="199"/>
      <c r="N27" s="199"/>
      <c r="O27" s="199"/>
      <c r="P27" s="199"/>
      <c r="Q27" s="199"/>
      <c r="AD27" s="143"/>
      <c r="AE27" s="143"/>
      <c r="AF27" s="143"/>
      <c r="AG27" s="143"/>
    </row>
    <row r="28" spans="1:33" ht="13.5" thickBot="1">
      <c r="A28" s="201" t="s">
        <v>172</v>
      </c>
      <c r="B28" s="202"/>
      <c r="C28" s="203"/>
      <c r="D28" s="203"/>
      <c r="E28" s="203"/>
      <c r="F28" s="203"/>
      <c r="G28" s="203"/>
      <c r="H28" s="203"/>
      <c r="I28" s="204"/>
      <c r="J28" s="204"/>
      <c r="K28" s="204"/>
      <c r="L28" s="204"/>
      <c r="M28" s="205"/>
      <c r="N28" s="205"/>
      <c r="O28" s="205"/>
      <c r="P28" s="205"/>
      <c r="Q28" s="205"/>
      <c r="R28" s="202"/>
      <c r="S28" s="202"/>
      <c r="T28" s="202"/>
      <c r="U28" s="203"/>
      <c r="V28" s="203"/>
      <c r="W28" s="203"/>
      <c r="X28" s="203"/>
      <c r="Y28" s="203"/>
      <c r="Z28" s="206">
        <f>SUM(Z14,Z20,Z26)</f>
        <v>2422624</v>
      </c>
      <c r="AA28" s="203"/>
      <c r="AB28" s="207">
        <f>SUM(AB14,AB20,AB26)</f>
        <v>11620.096</v>
      </c>
      <c r="AC28" s="194"/>
      <c r="AD28" s="195"/>
      <c r="AE28" s="195"/>
      <c r="AF28" s="195"/>
      <c r="AG28" s="195"/>
    </row>
    <row r="29" spans="9:17" ht="12.75">
      <c r="I29" s="198"/>
      <c r="J29" s="198"/>
      <c r="K29" s="198"/>
      <c r="L29" s="198"/>
      <c r="M29" s="199"/>
      <c r="N29" s="199"/>
      <c r="O29" s="199"/>
      <c r="P29" s="199"/>
      <c r="Q29" s="199"/>
    </row>
    <row r="30" ht="25.5">
      <c r="AB30" s="38" t="s">
        <v>173</v>
      </c>
    </row>
  </sheetData>
  <sheetProtection/>
  <printOptions/>
  <pageMargins left="0.5" right="0.5" top="1" bottom="1" header="0.5" footer="0.5"/>
  <pageSetup fitToHeight="1" fitToWidth="1" horizontalDpi="600" verticalDpi="600" orientation="landscape" scale="64" r:id="rId1"/>
  <headerFooter alignWithMargins="0">
    <oddHeader>&amp;L&amp;F&amp;R&amp;D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UCBSSL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Curtis</dc:creator>
  <cp:keywords/>
  <dc:description/>
  <cp:lastModifiedBy>Michael</cp:lastModifiedBy>
  <cp:lastPrinted>2008-01-18T23:35:43Z</cp:lastPrinted>
  <dcterms:created xsi:type="dcterms:W3CDTF">2006-08-28T23:55:56Z</dcterms:created>
  <dcterms:modified xsi:type="dcterms:W3CDTF">2012-03-16T18:21:16Z</dcterms:modified>
  <cp:category/>
  <cp:version/>
  <cp:contentType/>
  <cp:contentStatus/>
</cp:coreProperties>
</file>